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Issac Jacques\Documents\2 - M.Sc. documents\STFXU\Pressure_model\CanMin editing\"/>
    </mc:Choice>
  </mc:AlternateContent>
  <xr:revisionPtr revIDLastSave="0" documentId="13_ncr:1_{F9D80FCE-A535-470F-953C-7E6145B3795C}" xr6:coauthVersionLast="45" xr6:coauthVersionMax="45" xr10:uidLastSave="{00000000-0000-0000-0000-000000000000}"/>
  <bookViews>
    <workbookView xWindow="-108" yWindow="-108" windowWidth="23256" windowHeight="12576" firstSheet="1" activeTab="1" xr2:uid="{A8E6AE63-8339-48AD-8DDF-6C71A4A9CDD4}"/>
  </bookViews>
  <sheets>
    <sheet name="Information" sheetId="13" r:id="rId1"/>
    <sheet name="Overview" sheetId="1" r:id="rId2"/>
    <sheet name="Melt Properties" sheetId="2" r:id="rId3"/>
    <sheet name="Crystal Properties" sheetId="3" r:id="rId4"/>
    <sheet name="Vapour Properties" sheetId="4" r:id="rId5"/>
    <sheet name="Holtz et al 2001 Curves" sheetId="5" r:id="rId6"/>
    <sheet name="References" sheetId="14" r:id="rId7"/>
  </sheets>
  <externalReferences>
    <externalReference r:id="rId8"/>
  </externalReferences>
  <definedNames>
    <definedName name="solver_adj" localSheetId="1" hidden="1">Overview!$E$23</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0</definedName>
    <definedName name="solver_nwt" localSheetId="1" hidden="1">1</definedName>
    <definedName name="solver_opt" localSheetId="1" hidden="1">Overview!$E$26</definedName>
    <definedName name="solver_pre" localSheetId="1" hidden="1">0.000001</definedName>
    <definedName name="solver_rbv"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0</definedName>
    <definedName name="solver_ver" localSheetId="1" hidden="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2" l="1"/>
  <c r="B3" i="2"/>
  <c r="I30" i="2"/>
  <c r="I31" i="2"/>
  <c r="I32" i="2"/>
  <c r="I33" i="2"/>
  <c r="I34" i="2"/>
  <c r="I35" i="2"/>
  <c r="I36" i="2"/>
  <c r="I37" i="2"/>
  <c r="I38" i="2"/>
  <c r="I39" i="2"/>
  <c r="I29" i="2"/>
  <c r="C20" i="2"/>
  <c r="C17" i="2"/>
  <c r="C10" i="2"/>
  <c r="C11" i="2"/>
  <c r="C12" i="2"/>
  <c r="C13" i="2"/>
  <c r="C14" i="2"/>
  <c r="C15" i="2"/>
  <c r="C16" i="2"/>
  <c r="C18" i="2"/>
  <c r="C19" i="2"/>
  <c r="C21" i="2"/>
  <c r="D17" i="2"/>
  <c r="E2" i="2"/>
  <c r="E17" i="2"/>
  <c r="G17" i="2"/>
  <c r="I17" i="2"/>
  <c r="D10" i="2"/>
  <c r="E10" i="2"/>
  <c r="G10" i="2"/>
  <c r="I10" i="2"/>
  <c r="D11" i="2"/>
  <c r="E11" i="2"/>
  <c r="G11" i="2"/>
  <c r="I11" i="2"/>
  <c r="D12" i="2"/>
  <c r="E12" i="2"/>
  <c r="G12" i="2"/>
  <c r="I12" i="2"/>
  <c r="D13" i="2"/>
  <c r="E13" i="2"/>
  <c r="G13" i="2"/>
  <c r="I13" i="2"/>
  <c r="D14" i="2"/>
  <c r="E14" i="2"/>
  <c r="G14" i="2"/>
  <c r="I14" i="2"/>
  <c r="D15" i="2"/>
  <c r="E15" i="2"/>
  <c r="G15" i="2"/>
  <c r="I15" i="2"/>
  <c r="D16" i="2"/>
  <c r="E16" i="2"/>
  <c r="G16" i="2"/>
  <c r="I16" i="2"/>
  <c r="D18" i="2"/>
  <c r="E18" i="2"/>
  <c r="G18" i="2"/>
  <c r="I18" i="2"/>
  <c r="D19" i="2"/>
  <c r="E19" i="2"/>
  <c r="G19" i="2"/>
  <c r="I19" i="2"/>
  <c r="D20" i="2"/>
  <c r="E20" i="2"/>
  <c r="B6" i="2"/>
  <c r="G20" i="2"/>
  <c r="I20" i="2"/>
  <c r="I21" i="2"/>
  <c r="J17" i="2"/>
  <c r="D29" i="2"/>
  <c r="J15" i="2"/>
  <c r="D30" i="2"/>
  <c r="J16" i="2"/>
  <c r="D31" i="2"/>
  <c r="J18" i="2"/>
  <c r="D32" i="2"/>
  <c r="J19" i="2"/>
  <c r="D33" i="2"/>
  <c r="J11" i="2"/>
  <c r="D35" i="2"/>
  <c r="J10" i="2"/>
  <c r="D36" i="2"/>
  <c r="J13" i="2"/>
  <c r="D37" i="2"/>
  <c r="J12" i="2"/>
  <c r="D38" i="2"/>
  <c r="J20" i="2"/>
  <c r="D39" i="2"/>
  <c r="D40" i="2"/>
  <c r="E29" i="2"/>
  <c r="J29" i="2"/>
  <c r="K29" i="2"/>
  <c r="E30" i="2"/>
  <c r="K30" i="2"/>
  <c r="E31" i="2"/>
  <c r="K31" i="2"/>
  <c r="E32" i="2"/>
  <c r="K32" i="2"/>
  <c r="E33" i="2"/>
  <c r="K33" i="2"/>
  <c r="E34" i="2"/>
  <c r="K34" i="2"/>
  <c r="E35" i="2"/>
  <c r="K35" i="2"/>
  <c r="E36" i="2"/>
  <c r="K36" i="2"/>
  <c r="E37" i="2"/>
  <c r="K37" i="2"/>
  <c r="E38" i="2"/>
  <c r="K38" i="2"/>
  <c r="E39" i="2"/>
  <c r="K39" i="2"/>
  <c r="J30" i="2"/>
  <c r="J31" i="2"/>
  <c r="J32" i="2"/>
  <c r="J33" i="2"/>
  <c r="J34" i="2"/>
  <c r="J35" i="2"/>
  <c r="J36" i="2"/>
  <c r="J37" i="2"/>
  <c r="J38" i="2"/>
  <c r="J39" i="2"/>
  <c r="B42" i="2"/>
  <c r="G21" i="2"/>
  <c r="B4" i="2"/>
  <c r="B43" i="2"/>
  <c r="D30" i="1"/>
  <c r="E40" i="2"/>
  <c r="L5" i="5"/>
  <c r="L6" i="5"/>
  <c r="L7" i="5"/>
  <c r="L8" i="5"/>
  <c r="L9" i="5"/>
  <c r="L10" i="5"/>
  <c r="L11" i="5"/>
  <c r="L12" i="5"/>
  <c r="L13" i="5"/>
  <c r="L14" i="5"/>
  <c r="L15" i="5"/>
  <c r="I5" i="5"/>
  <c r="I6" i="5"/>
  <c r="I7" i="5"/>
  <c r="I8" i="5"/>
  <c r="I9" i="5"/>
  <c r="I10" i="5"/>
  <c r="I11" i="5"/>
  <c r="I12" i="5"/>
  <c r="I13" i="5"/>
  <c r="I14" i="5"/>
  <c r="I15" i="5"/>
  <c r="O5" i="5"/>
  <c r="O6" i="5"/>
  <c r="O7" i="5"/>
  <c r="O8" i="5"/>
  <c r="O9" i="5"/>
  <c r="O10" i="5"/>
  <c r="O11" i="5"/>
  <c r="O12" i="5"/>
  <c r="O13" i="5"/>
  <c r="O14" i="5"/>
  <c r="O15" i="5"/>
  <c r="O16" i="5"/>
  <c r="R5" i="5"/>
  <c r="R6" i="5"/>
  <c r="R7" i="5"/>
  <c r="R8" i="5"/>
  <c r="R9" i="5"/>
  <c r="R10" i="5"/>
  <c r="R11" i="5"/>
  <c r="R12" i="5"/>
  <c r="R13" i="5"/>
  <c r="R14" i="5"/>
  <c r="R15" i="5"/>
  <c r="R16" i="5"/>
  <c r="U5" i="5"/>
  <c r="U6" i="5"/>
  <c r="U7" i="5"/>
  <c r="U8" i="5"/>
  <c r="U9" i="5"/>
  <c r="U10" i="5"/>
  <c r="U11" i="5"/>
  <c r="U12" i="5"/>
  <c r="U13" i="5"/>
  <c r="U14" i="5"/>
  <c r="U15" i="5"/>
  <c r="U16" i="5"/>
  <c r="U17" i="5"/>
  <c r="U18" i="5"/>
  <c r="X5" i="5"/>
  <c r="X6" i="5"/>
  <c r="X7" i="5"/>
  <c r="X8" i="5"/>
  <c r="X9" i="5"/>
  <c r="X10" i="5"/>
  <c r="X11" i="5"/>
  <c r="X12" i="5"/>
  <c r="X13" i="5"/>
  <c r="AA5" i="5"/>
  <c r="AA6" i="5"/>
  <c r="AA7" i="5"/>
  <c r="AA8" i="5"/>
  <c r="AA9" i="5"/>
  <c r="AA10" i="5"/>
  <c r="AA11" i="5"/>
  <c r="AA12" i="5"/>
  <c r="AA13" i="5"/>
  <c r="AD5" i="5"/>
  <c r="AD6" i="5"/>
  <c r="AD7" i="5"/>
  <c r="AD8" i="5"/>
  <c r="AD9" i="5"/>
  <c r="AD10" i="5"/>
  <c r="AD11" i="5"/>
  <c r="AD12" i="5"/>
  <c r="AG5" i="5"/>
  <c r="AG6" i="5"/>
  <c r="AG7" i="5"/>
  <c r="AG8" i="5"/>
  <c r="AG9" i="5"/>
  <c r="AG10" i="5"/>
  <c r="AJ5" i="5"/>
  <c r="AJ6" i="5"/>
  <c r="AJ7" i="5"/>
  <c r="AM5" i="5"/>
  <c r="AM6" i="5"/>
  <c r="AM7" i="5"/>
  <c r="AM4" i="5"/>
  <c r="AJ4" i="5"/>
  <c r="AG4" i="5"/>
  <c r="AD4" i="5"/>
  <c r="AA4" i="5"/>
  <c r="X4" i="5"/>
  <c r="U4" i="5"/>
  <c r="R4" i="5"/>
  <c r="O4" i="5"/>
  <c r="L4" i="5"/>
  <c r="I4" i="5"/>
  <c r="F5" i="5"/>
  <c r="F6" i="5"/>
  <c r="F7" i="5"/>
  <c r="F8" i="5"/>
  <c r="F9" i="5"/>
  <c r="F10" i="5"/>
  <c r="F4" i="5"/>
  <c r="B3" i="4"/>
  <c r="K5" i="4"/>
  <c r="H5" i="4"/>
  <c r="E6" i="2"/>
  <c r="B3" i="3"/>
  <c r="F30" i="1"/>
  <c r="C46"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 i="5"/>
  <c r="E30" i="1"/>
  <c r="L4" i="1"/>
  <c r="L3" i="1"/>
  <c r="L2" i="1"/>
  <c r="B8" i="4"/>
  <c r="H3" i="1"/>
  <c r="B6" i="4"/>
  <c r="H5" i="1"/>
  <c r="H6" i="1"/>
  <c r="D21" i="2"/>
  <c r="D2" i="3"/>
  <c r="B5" i="3"/>
  <c r="B2" i="3"/>
  <c r="B2" i="4"/>
  <c r="E21" i="4"/>
  <c r="E20" i="4"/>
  <c r="E19" i="4"/>
  <c r="E18" i="4"/>
  <c r="E17" i="4"/>
  <c r="B5" i="2"/>
  <c r="B38" i="2"/>
  <c r="B37" i="2"/>
  <c r="B36" i="2"/>
  <c r="B35" i="2"/>
  <c r="B33" i="2"/>
  <c r="B32" i="2"/>
  <c r="B31" i="2"/>
  <c r="B30" i="2"/>
  <c r="B29" i="2"/>
  <c r="K4" i="4"/>
  <c r="K6" i="4"/>
  <c r="H4" i="4"/>
  <c r="H6" i="4"/>
  <c r="E3" i="2"/>
  <c r="F20" i="2"/>
  <c r="D3" i="3"/>
  <c r="H20" i="1"/>
  <c r="H7" i="4"/>
  <c r="H21" i="1"/>
  <c r="K7" i="4"/>
  <c r="B9" i="4"/>
  <c r="E21" i="2"/>
  <c r="E4" i="2"/>
  <c r="F19" i="2"/>
  <c r="F12" i="2"/>
  <c r="F10" i="2"/>
  <c r="F15" i="2"/>
  <c r="F11" i="2"/>
  <c r="F17" i="2"/>
  <c r="F18" i="2"/>
  <c r="F13" i="2"/>
  <c r="F16" i="2"/>
  <c r="F14" i="2"/>
  <c r="B5" i="4"/>
  <c r="E4" i="4"/>
  <c r="H18" i="1"/>
  <c r="D4" i="3"/>
  <c r="F13" i="3"/>
  <c r="D13" i="3"/>
  <c r="D15" i="3"/>
  <c r="B13" i="3"/>
  <c r="B15" i="3"/>
  <c r="F15" i="3"/>
  <c r="B39" i="2"/>
  <c r="B40" i="2"/>
  <c r="E14" i="4"/>
  <c r="B8" i="3"/>
  <c r="E5" i="2"/>
  <c r="H19" i="1"/>
  <c r="B36" i="4"/>
  <c r="F10" i="3"/>
  <c r="F12" i="3"/>
  <c r="D10" i="3"/>
  <c r="D12" i="3"/>
  <c r="H8" i="1"/>
  <c r="B10" i="3"/>
  <c r="B12" i="3"/>
  <c r="B16" i="3"/>
  <c r="B19" i="3"/>
  <c r="H12" i="1"/>
  <c r="E2" i="4"/>
  <c r="H20" i="2"/>
  <c r="H10" i="2"/>
  <c r="H19" i="2"/>
  <c r="D16" i="3"/>
  <c r="F16" i="3"/>
  <c r="B20" i="3"/>
  <c r="F19" i="3"/>
  <c r="F20" i="3"/>
  <c r="D19" i="3"/>
  <c r="H14" i="1"/>
  <c r="B4" i="4"/>
  <c r="F18" i="3"/>
  <c r="H11" i="1"/>
  <c r="D20" i="3"/>
  <c r="H13" i="1"/>
  <c r="E11" i="4"/>
  <c r="E3" i="4"/>
  <c r="G30" i="1"/>
  <c r="E10" i="4"/>
  <c r="E9" i="4"/>
  <c r="E6" i="4"/>
  <c r="E7" i="4"/>
  <c r="B10" i="4"/>
  <c r="I30" i="1"/>
  <c r="H17" i="1"/>
  <c r="H15" i="2"/>
  <c r="H13" i="2"/>
  <c r="H14" i="2"/>
  <c r="H12" i="2"/>
  <c r="H18" i="2"/>
  <c r="H17" i="2"/>
  <c r="H16" i="2"/>
  <c r="H7" i="1"/>
  <c r="L30" i="1"/>
  <c r="H11" i="2"/>
  <c r="H21" i="2"/>
  <c r="J14" i="2"/>
  <c r="K14" i="2"/>
  <c r="K20" i="2"/>
  <c r="K13" i="2"/>
  <c r="K15" i="2"/>
  <c r="K11" i="2"/>
  <c r="K10" i="2"/>
  <c r="J21" i="2"/>
  <c r="K19" i="2"/>
  <c r="K16" i="2"/>
  <c r="K18" i="2"/>
  <c r="K12" i="2"/>
  <c r="K17" i="2"/>
  <c r="K21" i="2"/>
  <c r="H4" i="1"/>
  <c r="H2" i="1"/>
  <c r="H30" i="1"/>
  <c r="K30" i="1"/>
  <c r="J30" i="1"/>
  <c r="E26" i="1"/>
  <c r="E25" i="1"/>
</calcChain>
</file>

<file path=xl/sharedStrings.xml><?xml version="1.0" encoding="utf-8"?>
<sst xmlns="http://schemas.openxmlformats.org/spreadsheetml/2006/main" count="312" uniqueCount="213">
  <si>
    <t>Initial Parameters</t>
  </si>
  <si>
    <t>Melt (kg)</t>
  </si>
  <si>
    <t>Dynamic Parameters</t>
  </si>
  <si>
    <t>Melt Properties</t>
  </si>
  <si>
    <t>H2O solubility (Wt. %)</t>
  </si>
  <si>
    <t>Melt Fraction</t>
  </si>
  <si>
    <t>Density (Kg/m3)</t>
  </si>
  <si>
    <t>Volume (m3)</t>
  </si>
  <si>
    <t>Crystal Properties</t>
  </si>
  <si>
    <t>Aggregate volume (m3)</t>
  </si>
  <si>
    <t>Vapour Properties</t>
  </si>
  <si>
    <t>Density of H2O (kg/m3)</t>
  </si>
  <si>
    <t>Quartz</t>
  </si>
  <si>
    <t>Microcline</t>
  </si>
  <si>
    <t>Albite</t>
  </si>
  <si>
    <t>Albite (kg/m3)</t>
  </si>
  <si>
    <t>Microcline (kg/m3)</t>
  </si>
  <si>
    <t>Quartz (kg/m3)</t>
  </si>
  <si>
    <t>Mi</t>
  </si>
  <si>
    <t>Xi</t>
  </si>
  <si>
    <t>Vi</t>
  </si>
  <si>
    <t>molecular</t>
  </si>
  <si>
    <t>mole</t>
  </si>
  <si>
    <t>partial</t>
  </si>
  <si>
    <t>Thermal</t>
  </si>
  <si>
    <t>Fractional Molar</t>
  </si>
  <si>
    <t>mass</t>
  </si>
  <si>
    <t>mol</t>
  </si>
  <si>
    <t>fraction</t>
  </si>
  <si>
    <t>Mol Vol</t>
  </si>
  <si>
    <t>Expansion</t>
  </si>
  <si>
    <t>compressibility</t>
  </si>
  <si>
    <t>Volume (PTX)</t>
  </si>
  <si>
    <t>Oxide</t>
  </si>
  <si>
    <t>wt %</t>
  </si>
  <si>
    <t>(g/mol)</t>
  </si>
  <si>
    <t>(1E-6 m3/mol)</t>
  </si>
  <si>
    <t>(1E-9 m3/mol K)</t>
  </si>
  <si>
    <t>(1E-6 m3/mol Gpa)</t>
  </si>
  <si>
    <t>(m3/mol)</t>
  </si>
  <si>
    <t>SiO2</t>
  </si>
  <si>
    <t>TiO2</t>
  </si>
  <si>
    <t>A2O3</t>
  </si>
  <si>
    <t>Fe2O3</t>
  </si>
  <si>
    <t>FeO</t>
  </si>
  <si>
    <t>MnO</t>
  </si>
  <si>
    <t>MgO</t>
  </si>
  <si>
    <t>CaO</t>
  </si>
  <si>
    <t>Na2O</t>
  </si>
  <si>
    <t>K2O</t>
  </si>
  <si>
    <t>H2O</t>
  </si>
  <si>
    <t>Sum</t>
  </si>
  <si>
    <t>Melt Density (kg/m3)</t>
  </si>
  <si>
    <t>Melt Volume (m3)</t>
  </si>
  <si>
    <t>Molar mass (g/mol)</t>
  </si>
  <si>
    <t>Wt fraction initial</t>
  </si>
  <si>
    <t>Mass (g)</t>
  </si>
  <si>
    <t>P2O5</t>
  </si>
  <si>
    <t>Al2O3</t>
  </si>
  <si>
    <t>Total</t>
  </si>
  <si>
    <t>Melt Mass (kg)</t>
  </si>
  <si>
    <t>Temperature (K)</t>
  </si>
  <si>
    <t>Pressure (Gpa)</t>
  </si>
  <si>
    <t>Total H2O (kg)</t>
  </si>
  <si>
    <t>H2O Wt. % initial</t>
  </si>
  <si>
    <t>Mass of melt initial (kg)</t>
  </si>
  <si>
    <t>Mols H2O initial</t>
  </si>
  <si>
    <t>a</t>
  </si>
  <si>
    <t>b</t>
  </si>
  <si>
    <t>c</t>
  </si>
  <si>
    <t>d</t>
  </si>
  <si>
    <t>e</t>
  </si>
  <si>
    <r>
      <t>T (</t>
    </r>
    <r>
      <rPr>
        <i/>
        <sz val="11"/>
        <color theme="1"/>
        <rFont val="Calibri"/>
        <family val="2"/>
        <scheme val="minor"/>
      </rPr>
      <t>C</t>
    </r>
    <r>
      <rPr>
        <sz val="11"/>
        <color theme="1"/>
        <rFont val="Calibri"/>
        <family val="2"/>
        <scheme val="minor"/>
      </rPr>
      <t>)</t>
    </r>
  </si>
  <si>
    <t>P (bars)</t>
  </si>
  <si>
    <t>Starting Volume m3</t>
  </si>
  <si>
    <t>Avogadro's Number</t>
  </si>
  <si>
    <t>Crystal Volume</t>
  </si>
  <si>
    <t>Vcell (A^3)</t>
  </si>
  <si>
    <t>Z</t>
  </si>
  <si>
    <t>Z (adjusted from 8)</t>
  </si>
  <si>
    <t>Vm (m^3/mol)</t>
  </si>
  <si>
    <t>Mass</t>
  </si>
  <si>
    <t>Molar mass</t>
  </si>
  <si>
    <t>mols</t>
  </si>
  <si>
    <t>V[qtz](m^3)</t>
  </si>
  <si>
    <t>V[ab](m^3)</t>
  </si>
  <si>
    <t>V[an](m^3)</t>
  </si>
  <si>
    <t>Density (Kg/m^3)</t>
  </si>
  <si>
    <t>Density (g/cm^3)</t>
  </si>
  <si>
    <t>Melt mass (kg)</t>
  </si>
  <si>
    <t>H2O Mass (kg)</t>
  </si>
  <si>
    <t>H2O mass (kg)</t>
  </si>
  <si>
    <t>Capacity: H2O Kg</t>
  </si>
  <si>
    <t>Mass Free water (kg)</t>
  </si>
  <si>
    <t>Moles Free Water</t>
  </si>
  <si>
    <t>Free water (kg)</t>
  </si>
  <si>
    <t>Soluble Water (Kg)</t>
  </si>
  <si>
    <t>Solubility</t>
  </si>
  <si>
    <t>Exsolved H2O Volume (m3)</t>
  </si>
  <si>
    <t>H2O mass</t>
  </si>
  <si>
    <t>Mass H2O in melt (kg)</t>
  </si>
  <si>
    <t>T</t>
  </si>
  <si>
    <t>Solidus</t>
  </si>
  <si>
    <t>Anhydrous</t>
  </si>
  <si>
    <t>1% H2O</t>
  </si>
  <si>
    <t>2% H2O</t>
  </si>
  <si>
    <t>V[crystals]</t>
  </si>
  <si>
    <t>V[melt]</t>
  </si>
  <si>
    <t>V[fluid]</t>
  </si>
  <si>
    <t>V[total]</t>
  </si>
  <si>
    <t>Density of melt</t>
  </si>
  <si>
    <t>System Volume</t>
  </si>
  <si>
    <t>Wt Fraction initial correction</t>
  </si>
  <si>
    <t>Initial Mass</t>
  </si>
  <si>
    <t>Initial Moles</t>
  </si>
  <si>
    <t>Mass at phi (kg)</t>
  </si>
  <si>
    <t>Moles at phi</t>
  </si>
  <si>
    <t>Mass Fraction at phi</t>
  </si>
  <si>
    <t>Wt%</t>
  </si>
  <si>
    <t>Mol Fraction at phi</t>
  </si>
  <si>
    <t>Free Water? (#/0)</t>
  </si>
  <si>
    <t>H2O content at P-T</t>
  </si>
  <si>
    <t>T (C)</t>
  </si>
  <si>
    <t>Vapour Volume</t>
  </si>
  <si>
    <t>Melt Mass P-T (kg)</t>
  </si>
  <si>
    <t>Temperature</t>
  </si>
  <si>
    <t>Molar mass of granite</t>
  </si>
  <si>
    <t>Molar volume</t>
  </si>
  <si>
    <t>molar mass/density</t>
  </si>
  <si>
    <t>Density H2O  (g/cm3)</t>
  </si>
  <si>
    <t>Molar Volume (m3/mol)</t>
  </si>
  <si>
    <t>H2O Volume (m^3)</t>
  </si>
  <si>
    <t>H2O content</t>
  </si>
  <si>
    <t>Anhydrous melt mass (kg)</t>
  </si>
  <si>
    <t>Anhydrous Melt (kg)</t>
  </si>
  <si>
    <t>Variables:</t>
  </si>
  <si>
    <t>Variables</t>
  </si>
  <si>
    <t>High V[m] cc/mol</t>
  </si>
  <si>
    <t>Low V[m] cc/mol</t>
  </si>
  <si>
    <t>V[m] H2O[m] cm3/mol</t>
  </si>
  <si>
    <t>L</t>
  </si>
  <si>
    <t>Molar V (cc/mol)</t>
  </si>
  <si>
    <t>Molar V (m3/mol)</t>
  </si>
  <si>
    <t>H</t>
  </si>
  <si>
    <t>Select V[m]:</t>
  </si>
  <si>
    <t>Alb</t>
  </si>
  <si>
    <t>Qtz</t>
  </si>
  <si>
    <t>Or</t>
  </si>
  <si>
    <t>Melt Comp P-T (Wt.%)</t>
  </si>
  <si>
    <t>P(bars)</t>
  </si>
  <si>
    <t>P (Mpa)</t>
  </si>
  <si>
    <t>Calculates the volume of the crystalline phases.</t>
  </si>
  <si>
    <t>Calculates the volume of the melt phase.</t>
  </si>
  <si>
    <t>Calculates the volume of the volatile H2O phase.</t>
  </si>
  <si>
    <t>High or Low V[m] equation?</t>
  </si>
  <si>
    <t>Low V[m] equation</t>
  </si>
  <si>
    <t>High V[m] Equation</t>
  </si>
  <si>
    <t>V(i) - V(0)</t>
  </si>
  <si>
    <t>calc_H2O solubility (wt.%)</t>
  </si>
  <si>
    <r>
      <t>Temperature (</t>
    </r>
    <r>
      <rPr>
        <i/>
        <sz val="11"/>
        <color theme="1"/>
        <rFont val="Calibri"/>
        <family val="2"/>
        <scheme val="minor"/>
      </rPr>
      <t>C)</t>
    </r>
  </si>
  <si>
    <t>H2O (wt.%)</t>
  </si>
  <si>
    <t>Volume (Manual)</t>
  </si>
  <si>
    <r>
      <t>Wagner W, Pruss A (2002) The IAPWS formulation 1995 for the thermodynamic properties of ordinary water substances for general and scientific use. J Phys Chem</t>
    </r>
    <r>
      <rPr>
        <sz val="11"/>
        <color theme="1"/>
        <rFont val="Calibri"/>
        <family val="2"/>
        <scheme val="minor"/>
      </rPr>
      <t xml:space="preserve"> Ref Data 31:387-535.</t>
    </r>
  </si>
  <si>
    <t>Ochs III FA, Lange RA (1999) The density of hydrous magmatic liquids. Science 283:1314-1317.</t>
  </si>
  <si>
    <t>Le Page Y, Donnay G (1976) Refinement of the crystal structure of low-quartz. Acta Crystallogr B 32:2456-2459.</t>
  </si>
  <si>
    <r>
      <t>Lange RA, Carmichael ISE (1987) Densities of Na</t>
    </r>
    <r>
      <rPr>
        <vertAlign val="subscript"/>
        <sz val="10"/>
        <color theme="1"/>
        <rFont val="Calibri"/>
        <family val="2"/>
        <scheme val="minor"/>
      </rPr>
      <t>2</t>
    </r>
    <r>
      <rPr>
        <sz val="10"/>
        <color theme="1"/>
        <rFont val="Calibri"/>
        <family val="2"/>
        <scheme val="minor"/>
      </rPr>
      <t>O-K</t>
    </r>
    <r>
      <rPr>
        <vertAlign val="subscript"/>
        <sz val="10"/>
        <color theme="1"/>
        <rFont val="Calibri"/>
        <family val="2"/>
        <scheme val="minor"/>
      </rPr>
      <t>2</t>
    </r>
    <r>
      <rPr>
        <sz val="10"/>
        <color theme="1"/>
        <rFont val="Calibri"/>
        <family val="2"/>
        <scheme val="minor"/>
      </rPr>
      <t>O-CaO-MgO-FeO-Fe</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-TiO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2</t>
    </r>
    <r>
      <rPr>
        <sz val="10"/>
        <color theme="1"/>
        <rFont val="Calibri"/>
        <family val="2"/>
        <scheme val="minor"/>
      </rPr>
      <t xml:space="preserve"> liquids: new measurements and derived partial molar properties. Geochim et Cosmochim Ac 51:2931-2946.</t>
    </r>
  </si>
  <si>
    <r>
      <t>Holtz F, Behrens H, Dingwell DB, Johannes W (1995) H</t>
    </r>
    <r>
      <rPr>
        <vertAlign val="subscript"/>
        <sz val="10"/>
        <color theme="1"/>
        <rFont val="Calibri"/>
        <family val="2"/>
        <scheme val="minor"/>
      </rPr>
      <t>2</t>
    </r>
    <r>
      <rPr>
        <sz val="10"/>
        <color theme="1"/>
        <rFont val="Calibri"/>
        <family val="2"/>
        <scheme val="minor"/>
      </rPr>
      <t>O solubility in haplogranitic melts: compositional, pressure, and temperature dependence. Am Mineral 80:94-108.</t>
    </r>
  </si>
  <si>
    <t>Holtz F, Johannes W, Tamic N, Behrens H (2001) Maximum and minimum water contents of granitic melts generated in the crust: a reevaluation and implications. Lithos 56:1-14.</t>
  </si>
  <si>
    <t>Lemmon EW, McLinden MO, Friend DG (1998) Thermophysical Properties of Fluid Systems. National Institute of Standards and Technology. http://webbook.nist.gov/chemistry. Accessed 20 Nov. 2019.</t>
  </si>
  <si>
    <r>
      <t>Burnham CW, Davis NF (1974) The role of H</t>
    </r>
    <r>
      <rPr>
        <vertAlign val="subscript"/>
        <sz val="10"/>
        <color theme="1"/>
        <rFont val="Calibri"/>
        <family val="2"/>
        <scheme val="minor"/>
      </rPr>
      <t>2</t>
    </r>
    <r>
      <rPr>
        <sz val="10"/>
        <color theme="1"/>
        <rFont val="Calibri"/>
        <family val="2"/>
        <scheme val="minor"/>
      </rPr>
      <t>O in silicate melts: II. Thermodynamic and phase relations in the system NaAlSi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-H</t>
    </r>
    <r>
      <rPr>
        <vertAlign val="subscript"/>
        <sz val="10"/>
        <color theme="1"/>
        <rFont val="Calibri"/>
        <family val="2"/>
        <scheme val="minor"/>
      </rPr>
      <t>2</t>
    </r>
    <r>
      <rPr>
        <sz val="10"/>
        <color theme="1"/>
        <rFont val="Calibri"/>
        <family val="2"/>
        <scheme val="minor"/>
      </rPr>
      <t>O to 10 kilobars, 700</t>
    </r>
    <r>
      <rPr>
        <vertAlign val="superscript"/>
        <sz val="10"/>
        <color theme="1"/>
        <rFont val="Calibri"/>
        <family val="2"/>
        <scheme val="minor"/>
      </rPr>
      <t>o</t>
    </r>
    <r>
      <rPr>
        <sz val="10"/>
        <color theme="1"/>
        <rFont val="Calibri"/>
        <family val="2"/>
        <scheme val="minor"/>
      </rPr>
      <t xml:space="preserve"> to 1100</t>
    </r>
    <r>
      <rPr>
        <vertAlign val="superscript"/>
        <sz val="10"/>
        <color theme="1"/>
        <rFont val="Calibri"/>
        <family val="2"/>
        <scheme val="minor"/>
      </rPr>
      <t>o</t>
    </r>
    <r>
      <rPr>
        <sz val="10"/>
        <color theme="1"/>
        <rFont val="Calibri"/>
        <family val="2"/>
        <scheme val="minor"/>
      </rPr>
      <t>C. Am J Sc 274:902-940.</t>
    </r>
  </si>
  <si>
    <t>Benusa MD, Angel RJ, Ross NL (2005) Compression of albite, NaAlSi3O8. Am Mineral 90:1115-1120.</t>
  </si>
  <si>
    <t>Angel RJ, Allan DR, Miletich R, Finger LW (1997) The use of quartz as an internal pressure standard in high-pressure crystallography. J Appl Crystallogr 30:461-446.</t>
  </si>
  <si>
    <r>
      <t>Allan DR, Angel R.J (1997) A high-pressure structural study of microcline (KAlSi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to 7 GPa. Eur J Mineral 9:263-275.</t>
    </r>
  </si>
  <si>
    <t>Citation</t>
  </si>
  <si>
    <t>Reference</t>
  </si>
  <si>
    <t>{1}</t>
  </si>
  <si>
    <t>{2}</t>
  </si>
  <si>
    <t>{3}</t>
  </si>
  <si>
    <t>{4}</t>
  </si>
  <si>
    <t>{5}</t>
  </si>
  <si>
    <t>{6}</t>
  </si>
  <si>
    <t>{7}</t>
  </si>
  <si>
    <t>{8}</t>
  </si>
  <si>
    <t>{9}</t>
  </si>
  <si>
    <t>{10}</t>
  </si>
  <si>
    <t>{11}</t>
  </si>
  <si>
    <t>Molar V H2O (m3/mol)</t>
  </si>
  <si>
    <t>Unit Cell Volume (A^3) {8}</t>
  </si>
  <si>
    <t>V/Vi {5}</t>
  </si>
  <si>
    <t>Vcell(A^3) {6}</t>
  </si>
  <si>
    <t>Vcell(A^3) {7}</t>
  </si>
  <si>
    <t>Molar Volume Calculation {9}</t>
  </si>
  <si>
    <r>
      <t xml:space="preserve">H2O Density (Kg/m3) </t>
    </r>
    <r>
      <rPr>
        <sz val="11"/>
        <color theme="1"/>
        <rFont val="Calibri"/>
        <family val="2"/>
        <scheme val="minor"/>
      </rPr>
      <t>{10}</t>
    </r>
  </si>
  <si>
    <t>H2O_melt V[m] {4}</t>
  </si>
  <si>
    <t>Solubility {3}</t>
  </si>
  <si>
    <t>{1,2}</t>
  </si>
  <si>
    <t>Calculate the density of a silicate melt of a given composition for a given pressure and temperature</t>
  </si>
  <si>
    <t>P (MPa)</t>
  </si>
  <si>
    <t>P(i) (MPa)</t>
  </si>
  <si>
    <t>T_C</t>
  </si>
  <si>
    <t>3% H2O</t>
  </si>
  <si>
    <t>4% H2O</t>
  </si>
  <si>
    <t>5% H2O</t>
  </si>
  <si>
    <t>6% H2O</t>
  </si>
  <si>
    <t>7% H2O</t>
  </si>
  <si>
    <t>8% H2O</t>
  </si>
  <si>
    <t>9% H2O</t>
  </si>
  <si>
    <t>10% H2O</t>
  </si>
  <si>
    <t>11% H2O</t>
  </si>
  <si>
    <t>Liquidus Curves</t>
  </si>
  <si>
    <t>Lithostatic Pressure (MPa)</t>
  </si>
  <si>
    <t>xi*mi</t>
  </si>
  <si>
    <t>xi*Vi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</si>
</sst>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000000000%"/>
    <numFmt numFmtId="165" formatCode="0.0000"/>
    <numFmt numFmtId="166" formatCode="0.00000000"/>
    <numFmt numFmtId="167" formatCode="0.000000000"/>
    <numFmt numFmtId="168" formatCode="0.0"/>
    <numFmt numFmtId="169" formatCode="0.0000000000"/>
  </numFmts>
  <fonts count="9"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sz val="11"/>
      <color theme="1"/>
      <name val="Calibri"/>
      <family val="2"/>
      <scheme val="minor"/>
    </font>
    <font>
      <sz val="9"/>
      <name val="Calibri"/>
      <family val="2"/>
      <scheme val="minor"/>
    </font>
    <font>
      <sz val="10"/>
      <color theme="1"/>
      <name val="Calibri"/>
      <family val="2"/>
      <scheme val="minor"/>
    </font>
    <font>
      <vertAlign val="subscript"/>
      <sz val="10"/>
      <color theme="1"/>
      <name val="Calibri"/>
      <family val="2"/>
      <scheme val="minor"/>
    </font>
    <font>
      <vertAlign val="superscript"/>
      <sz val="10"/>
      <color theme="1"/>
      <name val="Calibri"/>
      <family val="2"/>
      <scheme val="minor"/>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ck">
        <color indexed="64"/>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s>
  <cellStyleXfs count="2">
    <xf numFmtId="0" fontId="0" fillId="0" borderId="0"/>
    <xf numFmtId="9" fontId="4" fillId="0" borderId="0" applyFont="0" applyFill="0" applyBorder="0" applyAlignment="0" applyProtection="0"/>
  </cellStyleXfs>
  <cellXfs count="125">
    <xf numFmtId="0" fontId="0" fillId="0" borderId="0" xfId="0"/>
    <xf numFmtId="0" fontId="0" fillId="0" borderId="17" xfId="0" applyBorder="1"/>
    <xf numFmtId="0" fontId="0" fillId="0" borderId="6" xfId="0" applyBorder="1"/>
    <xf numFmtId="0" fontId="0" fillId="0" borderId="0" xfId="0" applyFill="1" applyBorder="1"/>
    <xf numFmtId="0" fontId="0" fillId="0" borderId="0" xfId="0" applyBorder="1"/>
    <xf numFmtId="2" fontId="0" fillId="0" borderId="0" xfId="0" applyNumberFormat="1"/>
    <xf numFmtId="10" fontId="0" fillId="0" borderId="0" xfId="0" applyNumberFormat="1"/>
    <xf numFmtId="0" fontId="1" fillId="0" borderId="0" xfId="0" applyFont="1"/>
    <xf numFmtId="0" fontId="0" fillId="0" borderId="1" xfId="0" applyFill="1" applyBorder="1"/>
    <xf numFmtId="11" fontId="0" fillId="0" borderId="0" xfId="0" applyNumberFormat="1"/>
    <xf numFmtId="0" fontId="0" fillId="0" borderId="24" xfId="0" applyBorder="1"/>
    <xf numFmtId="0" fontId="0" fillId="0" borderId="25" xfId="0" applyBorder="1"/>
    <xf numFmtId="11" fontId="0" fillId="0" borderId="25" xfId="0" applyNumberFormat="1" applyBorder="1"/>
    <xf numFmtId="0" fontId="0" fillId="0" borderId="26" xfId="0" applyBorder="1"/>
    <xf numFmtId="0" fontId="0" fillId="0" borderId="27" xfId="0" applyBorder="1"/>
    <xf numFmtId="2" fontId="0" fillId="0" borderId="28" xfId="0" applyNumberFormat="1" applyBorder="1"/>
    <xf numFmtId="2" fontId="0" fillId="0" borderId="29" xfId="0" applyNumberFormat="1" applyBorder="1"/>
    <xf numFmtId="2" fontId="0" fillId="0" borderId="30" xfId="0" applyNumberFormat="1" applyBorder="1"/>
    <xf numFmtId="0" fontId="0" fillId="0" borderId="23" xfId="0" applyBorder="1"/>
    <xf numFmtId="0" fontId="0" fillId="0" borderId="33" xfId="0" applyBorder="1"/>
    <xf numFmtId="0" fontId="0" fillId="0" borderId="13" xfId="0" applyBorder="1"/>
    <xf numFmtId="2" fontId="0" fillId="0" borderId="25" xfId="0" applyNumberFormat="1" applyBorder="1"/>
    <xf numFmtId="0" fontId="0" fillId="0" borderId="8" xfId="0" applyBorder="1"/>
    <xf numFmtId="2" fontId="0" fillId="0" borderId="17" xfId="0" applyNumberFormat="1" applyBorder="1"/>
    <xf numFmtId="0" fontId="0" fillId="0" borderId="0" xfId="0" applyNumberFormat="1"/>
    <xf numFmtId="0" fontId="0" fillId="0" borderId="0" xfId="0" applyAlignment="1"/>
    <xf numFmtId="10" fontId="0" fillId="0" borderId="13" xfId="0" applyNumberFormat="1" applyBorder="1"/>
    <xf numFmtId="2" fontId="0" fillId="0" borderId="8" xfId="0" applyNumberFormat="1" applyBorder="1"/>
    <xf numFmtId="0" fontId="0" fillId="0" borderId="0" xfId="0" applyAlignment="1">
      <alignment vertical="top" wrapText="1"/>
    </xf>
    <xf numFmtId="0" fontId="0" fillId="0" borderId="0" xfId="0" applyFill="1" applyBorder="1" applyAlignment="1"/>
    <xf numFmtId="0" fontId="0" fillId="0" borderId="0" xfId="0" applyFont="1" applyFill="1" applyBorder="1" applyAlignment="1">
      <alignment horizontal="centerContinuous"/>
    </xf>
    <xf numFmtId="0" fontId="0" fillId="0" borderId="0" xfId="0" applyFont="1" applyFill="1" applyBorder="1" applyAlignment="1">
      <alignment horizontal="center"/>
    </xf>
    <xf numFmtId="0" fontId="0" fillId="0" borderId="0" xfId="0" applyFont="1" applyFill="1" applyBorder="1" applyAlignment="1"/>
    <xf numFmtId="0" fontId="0" fillId="0" borderId="0" xfId="0" applyFont="1" applyBorder="1"/>
    <xf numFmtId="0" fontId="0" fillId="0" borderId="0" xfId="0" applyFont="1" applyFill="1" applyBorder="1"/>
    <xf numFmtId="164" fontId="0" fillId="0" borderId="0" xfId="0" applyNumberFormat="1"/>
    <xf numFmtId="0" fontId="3" fillId="0" borderId="0" xfId="0" applyFont="1" applyAlignment="1">
      <alignment horizontal="left" vertical="center" wrapText="1" indent="1"/>
    </xf>
    <xf numFmtId="0" fontId="0" fillId="0" borderId="0" xfId="0" applyAlignment="1">
      <alignment horizontal="right"/>
    </xf>
    <xf numFmtId="165" fontId="0" fillId="0" borderId="0" xfId="0" applyNumberFormat="1"/>
    <xf numFmtId="166" fontId="0" fillId="0" borderId="0" xfId="0" applyNumberFormat="1"/>
    <xf numFmtId="0" fontId="0" fillId="0" borderId="0" xfId="0" applyFont="1" applyFill="1" applyBorder="1" applyAlignment="1">
      <alignment horizontal="left" vertical="center"/>
    </xf>
    <xf numFmtId="0" fontId="0" fillId="0" borderId="0" xfId="0" applyAlignment="1">
      <alignment horizontal="left"/>
    </xf>
    <xf numFmtId="0" fontId="0" fillId="0" borderId="0" xfId="0" applyFont="1" applyBorder="1" applyAlignment="1">
      <alignment horizontal="left"/>
    </xf>
    <xf numFmtId="0" fontId="0" fillId="0" borderId="0" xfId="0" applyFont="1" applyFill="1" applyBorder="1" applyAlignment="1">
      <alignment horizontal="left"/>
    </xf>
    <xf numFmtId="0" fontId="2" fillId="0" borderId="0" xfId="0" applyFont="1" applyFill="1" applyBorder="1" applyAlignment="1">
      <alignment horizontal="left"/>
    </xf>
    <xf numFmtId="0" fontId="2" fillId="0" borderId="0" xfId="0" applyFont="1" applyAlignment="1">
      <alignment horizontal="left"/>
    </xf>
    <xf numFmtId="0" fontId="2" fillId="0" borderId="0" xfId="0" applyFont="1"/>
    <xf numFmtId="0" fontId="0" fillId="0" borderId="13" xfId="0" applyFill="1" applyBorder="1"/>
    <xf numFmtId="0" fontId="0" fillId="0" borderId="0" xfId="0" applyFont="1"/>
    <xf numFmtId="167" fontId="0" fillId="0" borderId="0" xfId="0" applyNumberFormat="1"/>
    <xf numFmtId="0" fontId="0" fillId="0" borderId="0" xfId="0" applyAlignment="1">
      <alignment horizontal="center" vertical="center"/>
    </xf>
    <xf numFmtId="9" fontId="0" fillId="0" borderId="0" xfId="1" applyFont="1"/>
    <xf numFmtId="0" fontId="0" fillId="0" borderId="0" xfId="1" applyNumberFormat="1" applyFont="1"/>
    <xf numFmtId="0" fontId="1" fillId="0" borderId="0" xfId="0" applyFont="1" applyFill="1" applyBorder="1"/>
    <xf numFmtId="168" fontId="5" fillId="0" borderId="0" xfId="0" applyNumberFormat="1" applyFont="1" applyFill="1"/>
    <xf numFmtId="0" fontId="0" fillId="0" borderId="0" xfId="0" applyFont="1" applyFill="1"/>
    <xf numFmtId="168" fontId="3" fillId="0" borderId="0" xfId="0" applyNumberFormat="1" applyFont="1" applyFill="1"/>
    <xf numFmtId="0" fontId="3" fillId="0" borderId="0" xfId="0" applyFont="1"/>
    <xf numFmtId="0" fontId="3" fillId="0" borderId="0" xfId="0" applyFont="1" applyAlignment="1">
      <alignment horizontal="right"/>
    </xf>
    <xf numFmtId="2" fontId="3" fillId="0" borderId="0" xfId="0" applyNumberFormat="1" applyFont="1" applyFill="1" applyAlignment="1">
      <alignment horizontal="right"/>
    </xf>
    <xf numFmtId="0" fontId="3" fillId="0" borderId="0" xfId="0" applyFont="1" applyFill="1" applyAlignment="1">
      <alignment horizontal="right"/>
    </xf>
    <xf numFmtId="2" fontId="3" fillId="0" borderId="0" xfId="0" applyNumberFormat="1" applyFont="1" applyFill="1"/>
    <xf numFmtId="0" fontId="3" fillId="0" borderId="0" xfId="0" applyFont="1" applyFill="1"/>
    <xf numFmtId="2" fontId="3" fillId="0" borderId="0" xfId="0" applyNumberFormat="1" applyFont="1" applyFill="1" applyAlignment="1">
      <alignment horizontal="center"/>
    </xf>
    <xf numFmtId="11" fontId="0" fillId="0" borderId="0" xfId="0" applyNumberFormat="1" applyBorder="1"/>
    <xf numFmtId="0" fontId="0" fillId="0" borderId="35" xfId="0" applyBorder="1"/>
    <xf numFmtId="169" fontId="0" fillId="0" borderId="0" xfId="0" applyNumberFormat="1"/>
    <xf numFmtId="0" fontId="0" fillId="0" borderId="0" xfId="0" applyFill="1"/>
    <xf numFmtId="2" fontId="0" fillId="0" borderId="0" xfId="0" applyNumberFormat="1" applyFill="1"/>
    <xf numFmtId="10" fontId="0" fillId="0" borderId="0" xfId="0" applyNumberFormat="1" applyFill="1"/>
    <xf numFmtId="0" fontId="0" fillId="0" borderId="0" xfId="0" applyNumberFormat="1" applyBorder="1"/>
    <xf numFmtId="0" fontId="0" fillId="0" borderId="0" xfId="0" applyBorder="1" applyAlignment="1"/>
    <xf numFmtId="0" fontId="0" fillId="0" borderId="25" xfId="0" applyBorder="1" applyAlignment="1">
      <alignment horizontal="center"/>
    </xf>
    <xf numFmtId="0" fontId="0" fillId="0" borderId="24" xfId="0" applyBorder="1" applyAlignment="1"/>
    <xf numFmtId="2" fontId="0" fillId="0" borderId="0" xfId="0" applyNumberFormat="1" applyBorder="1"/>
    <xf numFmtId="11" fontId="0" fillId="0" borderId="31" xfId="0" applyNumberFormat="1" applyBorder="1"/>
    <xf numFmtId="11" fontId="0" fillId="0" borderId="35" xfId="0" applyNumberFormat="1" applyBorder="1"/>
    <xf numFmtId="11" fontId="0" fillId="0" borderId="8" xfId="0" applyNumberFormat="1" applyBorder="1"/>
    <xf numFmtId="0" fontId="6" fillId="0" borderId="0" xfId="0" applyFont="1" applyAlignment="1">
      <alignment horizontal="left" vertical="center" wrapText="1" indent="3"/>
    </xf>
    <xf numFmtId="0" fontId="0" fillId="0" borderId="0" xfId="0" applyAlignment="1">
      <alignment horizontal="right" vertical="center"/>
    </xf>
    <xf numFmtId="2" fontId="0" fillId="0" borderId="0" xfId="0" applyNumberFormat="1" applyFill="1" applyBorder="1"/>
    <xf numFmtId="0" fontId="0" fillId="0" borderId="2" xfId="0" applyFill="1" applyBorder="1"/>
    <xf numFmtId="0" fontId="0" fillId="0" borderId="3" xfId="0" applyFill="1" applyBorder="1"/>
    <xf numFmtId="0" fontId="0" fillId="0" borderId="4" xfId="0" applyFill="1" applyBorder="1"/>
    <xf numFmtId="0" fontId="0" fillId="0" borderId="5" xfId="0" applyFill="1" applyBorder="1"/>
    <xf numFmtId="0" fontId="0" fillId="0" borderId="6" xfId="0" applyFill="1" applyBorder="1"/>
    <xf numFmtId="0" fontId="0" fillId="0" borderId="7" xfId="0" applyFill="1" applyBorder="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4" xfId="0" applyFill="1" applyBorder="1"/>
    <xf numFmtId="0" fontId="0" fillId="0" borderId="15" xfId="0" applyFill="1" applyBorder="1"/>
    <xf numFmtId="0" fontId="0" fillId="0" borderId="16" xfId="0" applyFill="1" applyBorder="1"/>
    <xf numFmtId="0" fontId="0" fillId="0" borderId="18" xfId="0" applyFill="1" applyBorder="1"/>
    <xf numFmtId="0" fontId="0" fillId="0" borderId="19" xfId="0" applyFill="1" applyBorder="1"/>
    <xf numFmtId="0" fontId="0" fillId="0" borderId="20" xfId="0" applyFill="1" applyBorder="1"/>
    <xf numFmtId="0" fontId="0" fillId="0" borderId="17" xfId="0" applyFill="1" applyBorder="1"/>
    <xf numFmtId="0" fontId="0" fillId="0" borderId="21" xfId="0" applyFill="1" applyBorder="1"/>
    <xf numFmtId="0" fontId="0" fillId="0" borderId="22" xfId="0" applyFill="1" applyBorder="1"/>
    <xf numFmtId="0" fontId="0" fillId="0" borderId="28" xfId="0" applyFill="1" applyBorder="1"/>
    <xf numFmtId="0" fontId="0" fillId="0" borderId="32" xfId="0" applyFill="1" applyBorder="1"/>
    <xf numFmtId="2" fontId="0" fillId="0" borderId="31" xfId="0" applyNumberFormat="1" applyFill="1" applyBorder="1"/>
    <xf numFmtId="0" fontId="1" fillId="0" borderId="23" xfId="0" applyFont="1" applyBorder="1"/>
    <xf numFmtId="0" fontId="1" fillId="0" borderId="2" xfId="0" applyFont="1" applyBorder="1"/>
    <xf numFmtId="0" fontId="0" fillId="0" borderId="23" xfId="0" applyFill="1" applyBorder="1"/>
    <xf numFmtId="0" fontId="0" fillId="0" borderId="1" xfId="0" applyBorder="1"/>
    <xf numFmtId="0" fontId="0" fillId="0" borderId="2" xfId="0" applyBorder="1"/>
    <xf numFmtId="0" fontId="0" fillId="0" borderId="3" xfId="0" applyBorder="1"/>
    <xf numFmtId="0" fontId="0" fillId="0" borderId="18" xfId="0" applyBorder="1"/>
    <xf numFmtId="11" fontId="3" fillId="0" borderId="0" xfId="0" applyNumberFormat="1" applyFont="1"/>
    <xf numFmtId="11" fontId="0" fillId="0" borderId="37" xfId="0" applyNumberFormat="1" applyFill="1" applyBorder="1"/>
    <xf numFmtId="11" fontId="0" fillId="0" borderId="38" xfId="0" applyNumberFormat="1" applyFill="1" applyBorder="1"/>
    <xf numFmtId="11" fontId="0" fillId="0" borderId="21" xfId="0" applyNumberFormat="1" applyFill="1" applyBorder="1"/>
    <xf numFmtId="11" fontId="0" fillId="0" borderId="39" xfId="0" applyNumberFormat="1" applyFill="1" applyBorder="1"/>
    <xf numFmtId="0" fontId="0" fillId="0" borderId="23" xfId="0" applyBorder="1" applyAlignment="1">
      <alignment horizontal="center"/>
    </xf>
    <xf numFmtId="0" fontId="0" fillId="0" borderId="13" xfId="0" applyBorder="1" applyAlignment="1">
      <alignment horizontal="center"/>
    </xf>
    <xf numFmtId="0" fontId="0" fillId="0" borderId="21" xfId="0" applyBorder="1" applyAlignment="1">
      <alignment horizontal="center"/>
    </xf>
    <xf numFmtId="0" fontId="0" fillId="0" borderId="36" xfId="0" applyBorder="1" applyAlignment="1">
      <alignment horizontal="center"/>
    </xf>
    <xf numFmtId="0" fontId="0" fillId="0" borderId="11" xfId="0" applyBorder="1" applyAlignment="1">
      <alignment horizontal="center"/>
    </xf>
    <xf numFmtId="0" fontId="0" fillId="0" borderId="34" xfId="0" applyBorder="1" applyAlignment="1">
      <alignment horizontal="center"/>
    </xf>
    <xf numFmtId="0" fontId="0" fillId="0" borderId="0" xfId="0" applyBorder="1" applyAlignment="1">
      <alignment horizontal="center"/>
    </xf>
    <xf numFmtId="0" fontId="0" fillId="0" borderId="25" xfId="0" applyBorder="1" applyAlignment="1">
      <alignment horizontal="center"/>
    </xf>
    <xf numFmtId="0" fontId="0" fillId="0" borderId="24"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Holtz (2001)</a:t>
            </a:r>
            <a:r>
              <a:rPr lang="en-CA" baseline="0"/>
              <a:t> Melting Curves</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Solidus</c:v>
          </c:tx>
          <c:spPr>
            <a:ln w="19050" cap="rnd">
              <a:solidFill>
                <a:schemeClr val="tx1"/>
              </a:solidFill>
              <a:round/>
            </a:ln>
            <a:effectLst/>
          </c:spPr>
          <c:marker>
            <c:symbol val="none"/>
          </c:marker>
          <c:xVal>
            <c:numRef>
              <c:f>'Holtz et al 2001 Curves'!$A$4:$A$46</c:f>
              <c:numCache>
                <c:formatCode>General</c:formatCode>
                <c:ptCount val="43"/>
                <c:pt idx="0">
                  <c:v>960.24900000000002</c:v>
                </c:pt>
                <c:pt idx="1">
                  <c:v>950.50149999999996</c:v>
                </c:pt>
                <c:pt idx="2">
                  <c:v>940.13210000000004</c:v>
                </c:pt>
                <c:pt idx="3">
                  <c:v>923.95540000000005</c:v>
                </c:pt>
                <c:pt idx="4">
                  <c:v>900.10519999999997</c:v>
                </c:pt>
                <c:pt idx="5">
                  <c:v>878.32889999999998</c:v>
                </c:pt>
                <c:pt idx="6">
                  <c:v>866.09289999999999</c:v>
                </c:pt>
                <c:pt idx="7">
                  <c:v>855.51586999999995</c:v>
                </c:pt>
                <c:pt idx="8">
                  <c:v>843.07263</c:v>
                </c:pt>
                <c:pt idx="9">
                  <c:v>827.93320000000006</c:v>
                </c:pt>
                <c:pt idx="10">
                  <c:v>808.02449999999999</c:v>
                </c:pt>
                <c:pt idx="11">
                  <c:v>797.24080000000004</c:v>
                </c:pt>
                <c:pt idx="12">
                  <c:v>787.28687000000002</c:v>
                </c:pt>
                <c:pt idx="13">
                  <c:v>775.67409999999995</c:v>
                </c:pt>
                <c:pt idx="14">
                  <c:v>761.78009999999995</c:v>
                </c:pt>
                <c:pt idx="15">
                  <c:v>750.99689999999998</c:v>
                </c:pt>
                <c:pt idx="16">
                  <c:v>742.08025999999995</c:v>
                </c:pt>
                <c:pt idx="17">
                  <c:v>730.46795999999995</c:v>
                </c:pt>
                <c:pt idx="18">
                  <c:v>721.49969999999996</c:v>
                </c:pt>
                <c:pt idx="19">
                  <c:v>712.48004000000003</c:v>
                </c:pt>
                <c:pt idx="20">
                  <c:v>704.86053000000004</c:v>
                </c:pt>
                <c:pt idx="21">
                  <c:v>698.32965000000002</c:v>
                </c:pt>
                <c:pt idx="22">
                  <c:v>692.26599999999996</c:v>
                </c:pt>
                <c:pt idx="23">
                  <c:v>684.95870000000002</c:v>
                </c:pt>
                <c:pt idx="24">
                  <c:v>679.3623</c:v>
                </c:pt>
                <c:pt idx="25">
                  <c:v>674.07745</c:v>
                </c:pt>
                <c:pt idx="26">
                  <c:v>668.17089999999996</c:v>
                </c:pt>
                <c:pt idx="27">
                  <c:v>663.81970000000001</c:v>
                </c:pt>
                <c:pt idx="28">
                  <c:v>659.93535999999995</c:v>
                </c:pt>
                <c:pt idx="29">
                  <c:v>656.20734000000004</c:v>
                </c:pt>
                <c:pt idx="30">
                  <c:v>652.94719999999995</c:v>
                </c:pt>
                <c:pt idx="31">
                  <c:v>649.9973</c:v>
                </c:pt>
                <c:pt idx="32">
                  <c:v>647.67039999999997</c:v>
                </c:pt>
                <c:pt idx="33">
                  <c:v>645.65295000000003</c:v>
                </c:pt>
                <c:pt idx="34">
                  <c:v>643.94745</c:v>
                </c:pt>
                <c:pt idx="35">
                  <c:v>642.24170000000004</c:v>
                </c:pt>
                <c:pt idx="36">
                  <c:v>641.15826000000004</c:v>
                </c:pt>
                <c:pt idx="37">
                  <c:v>638.83745999999996</c:v>
                </c:pt>
                <c:pt idx="38">
                  <c:v>637.59973000000002</c:v>
                </c:pt>
                <c:pt idx="39">
                  <c:v>635.58765000000005</c:v>
                </c:pt>
                <c:pt idx="40">
                  <c:v>634.81757000000005</c:v>
                </c:pt>
                <c:pt idx="41">
                  <c:v>633.89670000000001</c:v>
                </c:pt>
                <c:pt idx="42">
                  <c:v>632.21010000000001</c:v>
                </c:pt>
              </c:numCache>
            </c:numRef>
          </c:xVal>
          <c:yVal>
            <c:numRef>
              <c:f>'Holtz et al 2001 Curves'!$C$4:$C$46</c:f>
              <c:numCache>
                <c:formatCode>General</c:formatCode>
                <c:ptCount val="43"/>
                <c:pt idx="0">
                  <c:v>1.0254623999999999</c:v>
                </c:pt>
                <c:pt idx="1">
                  <c:v>1.8871047999999999</c:v>
                </c:pt>
                <c:pt idx="2">
                  <c:v>4.4585900000000001</c:v>
                </c:pt>
                <c:pt idx="3">
                  <c:v>6.1795115999999997</c:v>
                </c:pt>
                <c:pt idx="4">
                  <c:v>9.1879480000000004</c:v>
                </c:pt>
                <c:pt idx="5">
                  <c:v>11.340208000000001</c:v>
                </c:pt>
                <c:pt idx="6">
                  <c:v>13.913022000000002</c:v>
                </c:pt>
                <c:pt idx="7">
                  <c:v>15.202605999999999</c:v>
                </c:pt>
                <c:pt idx="8">
                  <c:v>18.630267</c:v>
                </c:pt>
                <c:pt idx="9">
                  <c:v>22.487200000000001</c:v>
                </c:pt>
                <c:pt idx="10">
                  <c:v>30.621026999999998</c:v>
                </c:pt>
                <c:pt idx="11">
                  <c:v>36.184260000000002</c:v>
                </c:pt>
                <c:pt idx="12">
                  <c:v>43.028946000000005</c:v>
                </c:pt>
                <c:pt idx="13">
                  <c:v>51.584216000000005</c:v>
                </c:pt>
                <c:pt idx="14">
                  <c:v>61.423157000000003</c:v>
                </c:pt>
                <c:pt idx="15">
                  <c:v>69.97784</c:v>
                </c:pt>
                <c:pt idx="16">
                  <c:v>78.531190000000009</c:v>
                </c:pt>
                <c:pt idx="17">
                  <c:v>90.077905000000001</c:v>
                </c:pt>
                <c:pt idx="18">
                  <c:v>100.127014</c:v>
                </c:pt>
                <c:pt idx="19">
                  <c:v>112.95393999999999</c:v>
                </c:pt>
                <c:pt idx="20">
                  <c:v>126.7414</c:v>
                </c:pt>
                <c:pt idx="21">
                  <c:v>139.56655000000001</c:v>
                </c:pt>
                <c:pt idx="22">
                  <c:v>155.59647999999999</c:v>
                </c:pt>
                <c:pt idx="23">
                  <c:v>176.11448999999999</c:v>
                </c:pt>
                <c:pt idx="24">
                  <c:v>195.99025</c:v>
                </c:pt>
                <c:pt idx="25">
                  <c:v>218.42988</c:v>
                </c:pt>
                <c:pt idx="26">
                  <c:v>244.07507000000001</c:v>
                </c:pt>
                <c:pt idx="27">
                  <c:v>268.75763999999998</c:v>
                </c:pt>
                <c:pt idx="28">
                  <c:v>294.72192000000001</c:v>
                </c:pt>
                <c:pt idx="29">
                  <c:v>325.17323999999996</c:v>
                </c:pt>
                <c:pt idx="30">
                  <c:v>363.31655000000001</c:v>
                </c:pt>
                <c:pt idx="31">
                  <c:v>396.01091000000002</c:v>
                </c:pt>
                <c:pt idx="32">
                  <c:v>433.83306000000005</c:v>
                </c:pt>
                <c:pt idx="33">
                  <c:v>461.39853999999997</c:v>
                </c:pt>
                <c:pt idx="34">
                  <c:v>494.41255000000001</c:v>
                </c:pt>
                <c:pt idx="35">
                  <c:v>525.82397000000003</c:v>
                </c:pt>
                <c:pt idx="36">
                  <c:v>558.19650000000001</c:v>
                </c:pt>
                <c:pt idx="37">
                  <c:v>632.23649999999998</c:v>
                </c:pt>
                <c:pt idx="38">
                  <c:v>671.66045000000008</c:v>
                </c:pt>
                <c:pt idx="39">
                  <c:v>731.59770000000003</c:v>
                </c:pt>
                <c:pt idx="40">
                  <c:v>777.11104</c:v>
                </c:pt>
                <c:pt idx="41">
                  <c:v>851.47050000000002</c:v>
                </c:pt>
                <c:pt idx="42">
                  <c:v>996.98439999999994</c:v>
                </c:pt>
              </c:numCache>
            </c:numRef>
          </c:yVal>
          <c:smooth val="0"/>
          <c:extLst>
            <c:ext xmlns:c16="http://schemas.microsoft.com/office/drawing/2014/chart" uri="{C3380CC4-5D6E-409C-BE32-E72D297353CC}">
              <c16:uniqueId val="{00000000-82FC-471C-B701-B9B47B434C0E}"/>
            </c:ext>
          </c:extLst>
        </c:ser>
        <c:ser>
          <c:idx val="1"/>
          <c:order val="1"/>
          <c:tx>
            <c:v>Anhydrous</c:v>
          </c:tx>
          <c:spPr>
            <a:ln w="19050" cap="rnd">
              <a:solidFill>
                <a:schemeClr val="tx1"/>
              </a:solidFill>
              <a:round/>
            </a:ln>
            <a:effectLst/>
          </c:spPr>
          <c:marker>
            <c:symbol val="none"/>
          </c:marker>
          <c:xVal>
            <c:numRef>
              <c:f>'Holtz et al 2001 Curves'!$D$4:$D$10</c:f>
              <c:numCache>
                <c:formatCode>General</c:formatCode>
                <c:ptCount val="7"/>
                <c:pt idx="0">
                  <c:v>959.78234999999995</c:v>
                </c:pt>
                <c:pt idx="1">
                  <c:v>975.19415000000004</c:v>
                </c:pt>
                <c:pt idx="2">
                  <c:v>994.80989999999997</c:v>
                </c:pt>
                <c:pt idx="3">
                  <c:v>1020.96405</c:v>
                </c:pt>
                <c:pt idx="4">
                  <c:v>1059.8839</c:v>
                </c:pt>
                <c:pt idx="5">
                  <c:v>1084.7920999999999</c:v>
                </c:pt>
                <c:pt idx="6">
                  <c:v>1119.0415</c:v>
                </c:pt>
              </c:numCache>
            </c:numRef>
          </c:xVal>
          <c:yVal>
            <c:numRef>
              <c:f>'Holtz et al 2001 Curves'!$F$4:$F$10</c:f>
              <c:numCache>
                <c:formatCode>General</c:formatCode>
                <c:ptCount val="7"/>
                <c:pt idx="0">
                  <c:v>0.59844489999999995</c:v>
                </c:pt>
                <c:pt idx="1">
                  <c:v>75.587379999999996</c:v>
                </c:pt>
                <c:pt idx="2">
                  <c:v>175.25277</c:v>
                </c:pt>
                <c:pt idx="3">
                  <c:v>306.96474999999998</c:v>
                </c:pt>
                <c:pt idx="4">
                  <c:v>503.41112999999996</c:v>
                </c:pt>
                <c:pt idx="5">
                  <c:v>625.82915000000003</c:v>
                </c:pt>
                <c:pt idx="6">
                  <c:v>797.91989999999998</c:v>
                </c:pt>
              </c:numCache>
            </c:numRef>
          </c:yVal>
          <c:smooth val="0"/>
          <c:extLst>
            <c:ext xmlns:c16="http://schemas.microsoft.com/office/drawing/2014/chart" uri="{C3380CC4-5D6E-409C-BE32-E72D297353CC}">
              <c16:uniqueId val="{00000001-82FC-471C-B701-B9B47B434C0E}"/>
            </c:ext>
          </c:extLst>
        </c:ser>
        <c:ser>
          <c:idx val="2"/>
          <c:order val="2"/>
          <c:tx>
            <c:v>1% H2O</c:v>
          </c:tx>
          <c:spPr>
            <a:ln w="19050" cap="rnd">
              <a:solidFill>
                <a:schemeClr val="tx1"/>
              </a:solidFill>
              <a:round/>
            </a:ln>
            <a:effectLst/>
          </c:spPr>
          <c:marker>
            <c:symbol val="none"/>
          </c:marker>
          <c:xVal>
            <c:numRef>
              <c:f>'Holtz et al 2001 Curves'!$G$4:$G$15</c:f>
              <c:numCache>
                <c:formatCode>General</c:formatCode>
                <c:ptCount val="12"/>
                <c:pt idx="0">
                  <c:v>875.16639999999995</c:v>
                </c:pt>
                <c:pt idx="1">
                  <c:v>885.74980000000005</c:v>
                </c:pt>
                <c:pt idx="2">
                  <c:v>897.11194</c:v>
                </c:pt>
                <c:pt idx="3">
                  <c:v>910.80884000000003</c:v>
                </c:pt>
                <c:pt idx="4">
                  <c:v>921.70434999999998</c:v>
                </c:pt>
                <c:pt idx="5">
                  <c:v>936.18115</c:v>
                </c:pt>
                <c:pt idx="6">
                  <c:v>949.10144000000003</c:v>
                </c:pt>
                <c:pt idx="7">
                  <c:v>969.64984000000004</c:v>
                </c:pt>
                <c:pt idx="8">
                  <c:v>985.52855999999997</c:v>
                </c:pt>
                <c:pt idx="9">
                  <c:v>1008.7243999999999</c:v>
                </c:pt>
                <c:pt idx="10">
                  <c:v>1031.2977000000001</c:v>
                </c:pt>
                <c:pt idx="11">
                  <c:v>1049.0453</c:v>
                </c:pt>
              </c:numCache>
            </c:numRef>
          </c:xVal>
          <c:yVal>
            <c:numRef>
              <c:f>'Holtz et al 2001 Curves'!$I$4:$I$15</c:f>
              <c:numCache>
                <c:formatCode>General</c:formatCode>
                <c:ptCount val="12"/>
                <c:pt idx="0">
                  <c:v>13.158698000000001</c:v>
                </c:pt>
                <c:pt idx="1">
                  <c:v>50.010090000000005</c:v>
                </c:pt>
                <c:pt idx="2">
                  <c:v>92.309640000000002</c:v>
                </c:pt>
                <c:pt idx="3">
                  <c:v>144.22290000000001</c:v>
                </c:pt>
                <c:pt idx="4">
                  <c:v>186.84329</c:v>
                </c:pt>
                <c:pt idx="5">
                  <c:v>251.57649999999998</c:v>
                </c:pt>
                <c:pt idx="6">
                  <c:v>310.22107</c:v>
                </c:pt>
                <c:pt idx="7">
                  <c:v>406.03964999999999</c:v>
                </c:pt>
                <c:pt idx="8">
                  <c:v>482.31029999999998</c:v>
                </c:pt>
                <c:pt idx="9">
                  <c:v>597.03719999999998</c:v>
                </c:pt>
                <c:pt idx="10">
                  <c:v>709.8415</c:v>
                </c:pt>
                <c:pt idx="11">
                  <c:v>799.25186000000008</c:v>
                </c:pt>
              </c:numCache>
            </c:numRef>
          </c:yVal>
          <c:smooth val="0"/>
          <c:extLst>
            <c:ext xmlns:c16="http://schemas.microsoft.com/office/drawing/2014/chart" uri="{C3380CC4-5D6E-409C-BE32-E72D297353CC}">
              <c16:uniqueId val="{00000002-82FC-471C-B701-B9B47B434C0E}"/>
            </c:ext>
          </c:extLst>
        </c:ser>
        <c:ser>
          <c:idx val="3"/>
          <c:order val="3"/>
          <c:tx>
            <c:strRef>
              <c:f>'Holtz et al 2001 Curves'!$J$2:$K$2</c:f>
              <c:strCache>
                <c:ptCount val="1"/>
                <c:pt idx="0">
                  <c:v>2% H2O</c:v>
                </c:pt>
              </c:strCache>
            </c:strRef>
          </c:tx>
          <c:spPr>
            <a:ln w="19050" cap="rnd">
              <a:solidFill>
                <a:schemeClr val="tx1"/>
              </a:solidFill>
              <a:round/>
            </a:ln>
            <a:effectLst/>
          </c:spPr>
          <c:marker>
            <c:symbol val="none"/>
          </c:marker>
          <c:xVal>
            <c:numRef>
              <c:f>'Holtz et al 2001 Curves'!$J$4:$J$15</c:f>
              <c:numCache>
                <c:formatCode>General</c:formatCode>
                <c:ptCount val="12"/>
                <c:pt idx="0">
                  <c:v>805.48424999999997</c:v>
                </c:pt>
                <c:pt idx="1">
                  <c:v>824.93939999999998</c:v>
                </c:pt>
                <c:pt idx="2">
                  <c:v>834.43380000000002</c:v>
                </c:pt>
                <c:pt idx="3">
                  <c:v>844.08410000000003</c:v>
                </c:pt>
                <c:pt idx="4">
                  <c:v>853.11220000000003</c:v>
                </c:pt>
                <c:pt idx="5">
                  <c:v>863.38599999999997</c:v>
                </c:pt>
                <c:pt idx="6">
                  <c:v>880.66565000000003</c:v>
                </c:pt>
                <c:pt idx="7">
                  <c:v>904.01575000000003</c:v>
                </c:pt>
                <c:pt idx="8">
                  <c:v>928.14520000000005</c:v>
                </c:pt>
                <c:pt idx="9">
                  <c:v>952.58569999999997</c:v>
                </c:pt>
                <c:pt idx="10">
                  <c:v>968.46469999999999</c:v>
                </c:pt>
                <c:pt idx="11">
                  <c:v>977.02655000000004</c:v>
                </c:pt>
              </c:numCache>
            </c:numRef>
          </c:xVal>
          <c:yVal>
            <c:numRef>
              <c:f>'Holtz et al 2001 Curves'!$L$4:$L$15</c:f>
              <c:numCache>
                <c:formatCode>General</c:formatCode>
                <c:ptCount val="12"/>
                <c:pt idx="0">
                  <c:v>32.759585999999999</c:v>
                </c:pt>
                <c:pt idx="1">
                  <c:v>102.29693</c:v>
                </c:pt>
                <c:pt idx="2">
                  <c:v>137.86704</c:v>
                </c:pt>
                <c:pt idx="3">
                  <c:v>175.68063999999998</c:v>
                </c:pt>
                <c:pt idx="4">
                  <c:v>213.49468000000002</c:v>
                </c:pt>
                <c:pt idx="5">
                  <c:v>259.00012000000004</c:v>
                </c:pt>
                <c:pt idx="6">
                  <c:v>341.35952000000003</c:v>
                </c:pt>
                <c:pt idx="7">
                  <c:v>448.39404000000002</c:v>
                </c:pt>
                <c:pt idx="8">
                  <c:v>564.72284999999999</c:v>
                </c:pt>
                <c:pt idx="9">
                  <c:v>680.73095999999998</c:v>
                </c:pt>
                <c:pt idx="10">
                  <c:v>759.24516999999992</c:v>
                </c:pt>
                <c:pt idx="11">
                  <c:v>798.98260000000005</c:v>
                </c:pt>
              </c:numCache>
            </c:numRef>
          </c:yVal>
          <c:smooth val="0"/>
          <c:extLst>
            <c:ext xmlns:c16="http://schemas.microsoft.com/office/drawing/2014/chart" uri="{C3380CC4-5D6E-409C-BE32-E72D297353CC}">
              <c16:uniqueId val="{00000003-82FC-471C-B701-B9B47B434C0E}"/>
            </c:ext>
          </c:extLst>
        </c:ser>
        <c:ser>
          <c:idx val="4"/>
          <c:order val="4"/>
          <c:tx>
            <c:strRef>
              <c:f>'Holtz et al 2001 Curves'!$M$2</c:f>
              <c:strCache>
                <c:ptCount val="1"/>
                <c:pt idx="0">
                  <c:v>3% H2O</c:v>
                </c:pt>
              </c:strCache>
            </c:strRef>
          </c:tx>
          <c:spPr>
            <a:ln w="19050" cap="rnd">
              <a:solidFill>
                <a:schemeClr val="tx1"/>
              </a:solidFill>
              <a:round/>
            </a:ln>
            <a:effectLst/>
          </c:spPr>
          <c:marker>
            <c:symbol val="none"/>
          </c:marker>
          <c:xVal>
            <c:numRef>
              <c:f>'Holtz et al 2001 Curves'!$M$4:$M$16</c:f>
              <c:numCache>
                <c:formatCode>General</c:formatCode>
                <c:ptCount val="13"/>
                <c:pt idx="0">
                  <c:v>760.38030000000003</c:v>
                </c:pt>
                <c:pt idx="1">
                  <c:v>775.01085999999998</c:v>
                </c:pt>
                <c:pt idx="2">
                  <c:v>781.85913000000005</c:v>
                </c:pt>
                <c:pt idx="3">
                  <c:v>790.88720000000001</c:v>
                </c:pt>
                <c:pt idx="4">
                  <c:v>800.53800000000001</c:v>
                </c:pt>
                <c:pt idx="5">
                  <c:v>810.65643</c:v>
                </c:pt>
                <c:pt idx="6">
                  <c:v>823.73230000000001</c:v>
                </c:pt>
                <c:pt idx="7">
                  <c:v>835.25170000000003</c:v>
                </c:pt>
                <c:pt idx="8">
                  <c:v>849.10649999999998</c:v>
                </c:pt>
                <c:pt idx="9">
                  <c:v>863.42849999999999</c:v>
                </c:pt>
                <c:pt idx="10">
                  <c:v>882.42163000000005</c:v>
                </c:pt>
                <c:pt idx="11">
                  <c:v>899.70299999999997</c:v>
                </c:pt>
                <c:pt idx="12">
                  <c:v>916.82950000000005</c:v>
                </c:pt>
              </c:numCache>
            </c:numRef>
          </c:xVal>
          <c:yVal>
            <c:numRef>
              <c:f>'Holtz et al 2001 Curves'!$O$4:$O$16</c:f>
              <c:numCache>
                <c:formatCode>General</c:formatCode>
                <c:ptCount val="13"/>
                <c:pt idx="0">
                  <c:v>62.278859999999995</c:v>
                </c:pt>
                <c:pt idx="1">
                  <c:v>116.43503000000001</c:v>
                </c:pt>
                <c:pt idx="2">
                  <c:v>141.10962000000001</c:v>
                </c:pt>
                <c:pt idx="3">
                  <c:v>178.60314</c:v>
                </c:pt>
                <c:pt idx="4">
                  <c:v>219.62184999999999</c:v>
                </c:pt>
                <c:pt idx="5">
                  <c:v>265.76842999999997</c:v>
                </c:pt>
                <c:pt idx="6">
                  <c:v>324.73341999999997</c:v>
                </c:pt>
                <c:pt idx="7">
                  <c:v>377.60976999999997</c:v>
                </c:pt>
                <c:pt idx="8">
                  <c:v>443.30492999999996</c:v>
                </c:pt>
                <c:pt idx="9">
                  <c:v>512.52544</c:v>
                </c:pt>
                <c:pt idx="10">
                  <c:v>609.62715000000003</c:v>
                </c:pt>
                <c:pt idx="11">
                  <c:v>702.24297000000001</c:v>
                </c:pt>
                <c:pt idx="12">
                  <c:v>799.02549999999997</c:v>
                </c:pt>
              </c:numCache>
            </c:numRef>
          </c:yVal>
          <c:smooth val="0"/>
          <c:extLst>
            <c:ext xmlns:c16="http://schemas.microsoft.com/office/drawing/2014/chart" uri="{C3380CC4-5D6E-409C-BE32-E72D297353CC}">
              <c16:uniqueId val="{00000004-82FC-471C-B701-B9B47B434C0E}"/>
            </c:ext>
          </c:extLst>
        </c:ser>
        <c:ser>
          <c:idx val="5"/>
          <c:order val="5"/>
          <c:tx>
            <c:strRef>
              <c:f>'Holtz et al 2001 Curves'!$P$2</c:f>
              <c:strCache>
                <c:ptCount val="1"/>
                <c:pt idx="0">
                  <c:v>4% H2O</c:v>
                </c:pt>
              </c:strCache>
            </c:strRef>
          </c:tx>
          <c:spPr>
            <a:ln w="19050" cap="rnd">
              <a:solidFill>
                <a:schemeClr val="tx1"/>
              </a:solidFill>
              <a:round/>
            </a:ln>
            <a:effectLst/>
          </c:spPr>
          <c:marker>
            <c:symbol val="none"/>
          </c:marker>
          <c:xVal>
            <c:numRef>
              <c:f>'Holtz et al 2001 Curves'!$P$4:$P$16</c:f>
              <c:numCache>
                <c:formatCode>General</c:formatCode>
                <c:ptCount val="13"/>
                <c:pt idx="0">
                  <c:v>724.92096000000004</c:v>
                </c:pt>
                <c:pt idx="1">
                  <c:v>737.0607</c:v>
                </c:pt>
                <c:pt idx="2">
                  <c:v>745.62189999999998</c:v>
                </c:pt>
                <c:pt idx="3">
                  <c:v>757.91890000000001</c:v>
                </c:pt>
                <c:pt idx="4">
                  <c:v>773.01909999999998</c:v>
                </c:pt>
                <c:pt idx="5">
                  <c:v>786.5625</c:v>
                </c:pt>
                <c:pt idx="6">
                  <c:v>797.14873999999998</c:v>
                </c:pt>
                <c:pt idx="7">
                  <c:v>805.08812999999998</c:v>
                </c:pt>
                <c:pt idx="8">
                  <c:v>816.92039999999997</c:v>
                </c:pt>
                <c:pt idx="9">
                  <c:v>829.37660000000005</c:v>
                </c:pt>
                <c:pt idx="10">
                  <c:v>839.18669999999997</c:v>
                </c:pt>
                <c:pt idx="11">
                  <c:v>848.84173999999996</c:v>
                </c:pt>
                <c:pt idx="12">
                  <c:v>860.21014000000002</c:v>
                </c:pt>
              </c:numCache>
            </c:numRef>
          </c:xVal>
          <c:yVal>
            <c:numRef>
              <c:f>'Holtz et al 2001 Curves'!$R$4:$R$16</c:f>
              <c:numCache>
                <c:formatCode>General</c:formatCode>
                <c:ptCount val="13"/>
                <c:pt idx="0">
                  <c:v>95.316895000000002</c:v>
                </c:pt>
                <c:pt idx="1">
                  <c:v>137.29536999999999</c:v>
                </c:pt>
                <c:pt idx="2">
                  <c:v>173.18666999999999</c:v>
                </c:pt>
                <c:pt idx="3">
                  <c:v>225.42143999999999</c:v>
                </c:pt>
                <c:pt idx="4">
                  <c:v>297.20546999999999</c:v>
                </c:pt>
                <c:pt idx="5">
                  <c:v>361.29831999999999</c:v>
                </c:pt>
                <c:pt idx="6">
                  <c:v>414.81635999999997</c:v>
                </c:pt>
                <c:pt idx="7">
                  <c:v>453.27217000000002</c:v>
                </c:pt>
                <c:pt idx="8">
                  <c:v>516.72520000000009</c:v>
                </c:pt>
                <c:pt idx="9">
                  <c:v>590.43419999999992</c:v>
                </c:pt>
                <c:pt idx="10">
                  <c:v>653.56816000000003</c:v>
                </c:pt>
                <c:pt idx="11">
                  <c:v>719.26635999999996</c:v>
                </c:pt>
                <c:pt idx="12">
                  <c:v>799.38633000000004</c:v>
                </c:pt>
              </c:numCache>
            </c:numRef>
          </c:yVal>
          <c:smooth val="0"/>
          <c:extLst>
            <c:ext xmlns:c16="http://schemas.microsoft.com/office/drawing/2014/chart" uri="{C3380CC4-5D6E-409C-BE32-E72D297353CC}">
              <c16:uniqueId val="{00000005-82FC-471C-B701-B9B47B434C0E}"/>
            </c:ext>
          </c:extLst>
        </c:ser>
        <c:ser>
          <c:idx val="6"/>
          <c:order val="6"/>
          <c:tx>
            <c:strRef>
              <c:f>'Holtz et al 2001 Curves'!$S$2</c:f>
              <c:strCache>
                <c:ptCount val="1"/>
                <c:pt idx="0">
                  <c:v>5% H2O</c:v>
                </c:pt>
              </c:strCache>
            </c:strRef>
          </c:tx>
          <c:spPr>
            <a:ln w="19050" cap="rnd">
              <a:solidFill>
                <a:schemeClr val="tx1"/>
              </a:solidFill>
              <a:round/>
            </a:ln>
            <a:effectLst/>
          </c:spPr>
          <c:marker>
            <c:symbol val="none"/>
          </c:marker>
          <c:xVal>
            <c:numRef>
              <c:f>'Holtz et al 2001 Curves'!$S$4:$S$18</c:f>
              <c:numCache>
                <c:formatCode>General</c:formatCode>
                <c:ptCount val="15"/>
                <c:pt idx="0">
                  <c:v>703.30560000000003</c:v>
                </c:pt>
                <c:pt idx="1">
                  <c:v>706.72979999999995</c:v>
                </c:pt>
                <c:pt idx="2">
                  <c:v>711.24426000000005</c:v>
                </c:pt>
                <c:pt idx="3">
                  <c:v>717.78340000000003</c:v>
                </c:pt>
                <c:pt idx="4">
                  <c:v>722.76526000000001</c:v>
                </c:pt>
                <c:pt idx="5">
                  <c:v>728.21469999999999</c:v>
                </c:pt>
                <c:pt idx="6">
                  <c:v>739.26880000000006</c:v>
                </c:pt>
                <c:pt idx="7">
                  <c:v>747.83230000000003</c:v>
                </c:pt>
                <c:pt idx="8">
                  <c:v>756.55139999999994</c:v>
                </c:pt>
                <c:pt idx="9">
                  <c:v>766.98364000000004</c:v>
                </c:pt>
                <c:pt idx="10">
                  <c:v>774.45807000000002</c:v>
                </c:pt>
                <c:pt idx="11">
                  <c:v>780.53229999999996</c:v>
                </c:pt>
                <c:pt idx="12">
                  <c:v>790.03186000000005</c:v>
                </c:pt>
                <c:pt idx="13">
                  <c:v>800.46789999999999</c:v>
                </c:pt>
                <c:pt idx="14">
                  <c:v>808.72393999999997</c:v>
                </c:pt>
              </c:numCache>
            </c:numRef>
          </c:xVal>
          <c:yVal>
            <c:numRef>
              <c:f>'Holtz et al 2001 Curves'!$U$4:$U$18</c:f>
              <c:numCache>
                <c:formatCode>General</c:formatCode>
                <c:ptCount val="15"/>
                <c:pt idx="0">
                  <c:v>129.94763</c:v>
                </c:pt>
                <c:pt idx="1">
                  <c:v>142.76569000000001</c:v>
                </c:pt>
                <c:pt idx="2">
                  <c:v>164.23679999999999</c:v>
                </c:pt>
                <c:pt idx="3">
                  <c:v>200.45005</c:v>
                </c:pt>
                <c:pt idx="4">
                  <c:v>226.40799999999999</c:v>
                </c:pt>
                <c:pt idx="5">
                  <c:v>258.13486</c:v>
                </c:pt>
                <c:pt idx="6">
                  <c:v>318.70383000000004</c:v>
                </c:pt>
                <c:pt idx="7">
                  <c:v>368.37716999999998</c:v>
                </c:pt>
                <c:pt idx="8">
                  <c:v>418.69139999999999</c:v>
                </c:pt>
                <c:pt idx="9">
                  <c:v>481.50439999999998</c:v>
                </c:pt>
                <c:pt idx="10">
                  <c:v>529.89650000000006</c:v>
                </c:pt>
                <c:pt idx="11">
                  <c:v>576.68696</c:v>
                </c:pt>
                <c:pt idx="12">
                  <c:v>643.34680000000003</c:v>
                </c:pt>
                <c:pt idx="13">
                  <c:v>728.59564999999998</c:v>
                </c:pt>
                <c:pt idx="14">
                  <c:v>800.06405999999993</c:v>
                </c:pt>
              </c:numCache>
            </c:numRef>
          </c:yVal>
          <c:smooth val="0"/>
          <c:extLst>
            <c:ext xmlns:c16="http://schemas.microsoft.com/office/drawing/2014/chart" uri="{C3380CC4-5D6E-409C-BE32-E72D297353CC}">
              <c16:uniqueId val="{00000006-82FC-471C-B701-B9B47B434C0E}"/>
            </c:ext>
          </c:extLst>
        </c:ser>
        <c:ser>
          <c:idx val="7"/>
          <c:order val="7"/>
          <c:tx>
            <c:strRef>
              <c:f>'Holtz et al 2001 Curves'!$V$2</c:f>
              <c:strCache>
                <c:ptCount val="1"/>
                <c:pt idx="0">
                  <c:v>6% H2O</c:v>
                </c:pt>
              </c:strCache>
            </c:strRef>
          </c:tx>
          <c:spPr>
            <a:ln w="19050" cap="rnd">
              <a:solidFill>
                <a:schemeClr val="tx1"/>
              </a:solidFill>
              <a:round/>
            </a:ln>
            <a:effectLst/>
          </c:spPr>
          <c:marker>
            <c:symbol val="none"/>
          </c:marker>
          <c:xVal>
            <c:numRef>
              <c:f>'Holtz et al 2001 Curves'!$V$4:$V$13</c:f>
              <c:numCache>
                <c:formatCode>General</c:formatCode>
                <c:ptCount val="10"/>
                <c:pt idx="0">
                  <c:v>683.71496999999999</c:v>
                </c:pt>
                <c:pt idx="1">
                  <c:v>687.76319999999998</c:v>
                </c:pt>
                <c:pt idx="2">
                  <c:v>694.45839999999998</c:v>
                </c:pt>
                <c:pt idx="3">
                  <c:v>702.55529999999999</c:v>
                </c:pt>
                <c:pt idx="4">
                  <c:v>713.45592999999997</c:v>
                </c:pt>
                <c:pt idx="5">
                  <c:v>722.95574999999997</c:v>
                </c:pt>
                <c:pt idx="6">
                  <c:v>730.74390000000005</c:v>
                </c:pt>
                <c:pt idx="7">
                  <c:v>739.62396000000001</c:v>
                </c:pt>
                <c:pt idx="8">
                  <c:v>749.43970000000002</c:v>
                </c:pt>
                <c:pt idx="9">
                  <c:v>760.81500000000005</c:v>
                </c:pt>
              </c:numCache>
            </c:numRef>
          </c:xVal>
          <c:yVal>
            <c:numRef>
              <c:f>'Holtz et al 2001 Curves'!$X$4:$X$13</c:f>
              <c:numCache>
                <c:formatCode>General</c:formatCode>
                <c:ptCount val="10"/>
                <c:pt idx="0">
                  <c:v>179.96152000000001</c:v>
                </c:pt>
                <c:pt idx="1">
                  <c:v>203.67655999999999</c:v>
                </c:pt>
                <c:pt idx="2">
                  <c:v>243.41532999999998</c:v>
                </c:pt>
                <c:pt idx="3">
                  <c:v>293.73003</c:v>
                </c:pt>
                <c:pt idx="4">
                  <c:v>366.79910000000001</c:v>
                </c:pt>
                <c:pt idx="5">
                  <c:v>434.74097</c:v>
                </c:pt>
                <c:pt idx="6">
                  <c:v>498.83789999999999</c:v>
                </c:pt>
                <c:pt idx="7">
                  <c:v>581.20326999999997</c:v>
                </c:pt>
                <c:pt idx="8">
                  <c:v>677.99099999999999</c:v>
                </c:pt>
                <c:pt idx="9">
                  <c:v>799.13660000000004</c:v>
                </c:pt>
              </c:numCache>
            </c:numRef>
          </c:yVal>
          <c:smooth val="0"/>
          <c:extLst>
            <c:ext xmlns:c16="http://schemas.microsoft.com/office/drawing/2014/chart" uri="{C3380CC4-5D6E-409C-BE32-E72D297353CC}">
              <c16:uniqueId val="{00000007-82FC-471C-B701-B9B47B434C0E}"/>
            </c:ext>
          </c:extLst>
        </c:ser>
        <c:ser>
          <c:idx val="14"/>
          <c:order val="8"/>
          <c:tx>
            <c:strRef>
              <c:f>'Holtz et al 2001 Curves'!$Y$2</c:f>
              <c:strCache>
                <c:ptCount val="1"/>
                <c:pt idx="0">
                  <c:v>7% H2O</c:v>
                </c:pt>
              </c:strCache>
            </c:strRef>
          </c:tx>
          <c:spPr>
            <a:ln w="19050" cap="rnd">
              <a:solidFill>
                <a:schemeClr val="tx1"/>
              </a:solidFill>
              <a:round/>
            </a:ln>
            <a:effectLst/>
          </c:spPr>
          <c:marker>
            <c:symbol val="none"/>
          </c:marker>
          <c:xVal>
            <c:numRef>
              <c:f>'Holtz et al 2001 Curves'!$Y$4:$Y$13</c:f>
              <c:numCache>
                <c:formatCode>General</c:formatCode>
                <c:ptCount val="10"/>
                <c:pt idx="0">
                  <c:v>669.25900000000001</c:v>
                </c:pt>
                <c:pt idx="1">
                  <c:v>674.24419999999998</c:v>
                </c:pt>
                <c:pt idx="2">
                  <c:v>679.22990000000004</c:v>
                </c:pt>
                <c:pt idx="3">
                  <c:v>684.68273999999997</c:v>
                </c:pt>
                <c:pt idx="4">
                  <c:v>690.91520000000003</c:v>
                </c:pt>
                <c:pt idx="5">
                  <c:v>694.81100000000004</c:v>
                </c:pt>
                <c:pt idx="6">
                  <c:v>701.82590000000005</c:v>
                </c:pt>
                <c:pt idx="7">
                  <c:v>706.65935999999999</c:v>
                </c:pt>
                <c:pt idx="8">
                  <c:v>712.27279999999996</c:v>
                </c:pt>
                <c:pt idx="9">
                  <c:v>716.95050000000003</c:v>
                </c:pt>
              </c:numCache>
            </c:numRef>
          </c:xVal>
          <c:yVal>
            <c:numRef>
              <c:f>'Holtz et al 2001 Curves'!$AA$4:$AA$13</c:f>
              <c:numCache>
                <c:formatCode>General</c:formatCode>
                <c:ptCount val="10"/>
                <c:pt idx="0">
                  <c:v>239.26662999999999</c:v>
                </c:pt>
                <c:pt idx="1">
                  <c:v>285.41687000000002</c:v>
                </c:pt>
                <c:pt idx="2">
                  <c:v>334.13119999999998</c:v>
                </c:pt>
                <c:pt idx="3">
                  <c:v>385.72979999999995</c:v>
                </c:pt>
                <c:pt idx="4">
                  <c:v>448.54579999999999</c:v>
                </c:pt>
                <c:pt idx="5">
                  <c:v>490.85069999999996</c:v>
                </c:pt>
                <c:pt idx="6">
                  <c:v>581.87120000000004</c:v>
                </c:pt>
                <c:pt idx="7">
                  <c:v>650.13689999999997</c:v>
                </c:pt>
                <c:pt idx="8">
                  <c:v>732.18410000000006</c:v>
                </c:pt>
                <c:pt idx="9">
                  <c:v>799.16786999999999</c:v>
                </c:pt>
              </c:numCache>
            </c:numRef>
          </c:yVal>
          <c:smooth val="0"/>
          <c:extLst>
            <c:ext xmlns:c16="http://schemas.microsoft.com/office/drawing/2014/chart" uri="{C3380CC4-5D6E-409C-BE32-E72D297353CC}">
              <c16:uniqueId val="{00000008-82FC-471C-B701-B9B47B434C0E}"/>
            </c:ext>
          </c:extLst>
        </c:ser>
        <c:ser>
          <c:idx val="8"/>
          <c:order val="9"/>
          <c:tx>
            <c:strRef>
              <c:f>'Holtz et al 2001 Curves'!$AB$2</c:f>
              <c:strCache>
                <c:ptCount val="1"/>
                <c:pt idx="0">
                  <c:v>8% H2O</c:v>
                </c:pt>
              </c:strCache>
            </c:strRef>
          </c:tx>
          <c:spPr>
            <a:ln w="19050" cap="rnd">
              <a:solidFill>
                <a:schemeClr val="tx1"/>
              </a:solidFill>
              <a:round/>
            </a:ln>
            <a:effectLst/>
          </c:spPr>
          <c:marker>
            <c:symbol val="none"/>
          </c:marker>
          <c:xVal>
            <c:numRef>
              <c:f>'Holtz et al 2001 Curves'!$AB$4:$AB$12</c:f>
              <c:numCache>
                <c:formatCode>General</c:formatCode>
                <c:ptCount val="9"/>
                <c:pt idx="0">
                  <c:v>656.51819999999998</c:v>
                </c:pt>
                <c:pt idx="1">
                  <c:v>661.03740000000005</c:v>
                </c:pt>
                <c:pt idx="2">
                  <c:v>666.33579999999995</c:v>
                </c:pt>
                <c:pt idx="3">
                  <c:v>669.60910000000001</c:v>
                </c:pt>
                <c:pt idx="4">
                  <c:v>671.63653999999997</c:v>
                </c:pt>
                <c:pt idx="5">
                  <c:v>676.78539999999998</c:v>
                </c:pt>
                <c:pt idx="6">
                  <c:v>679.75120000000004</c:v>
                </c:pt>
                <c:pt idx="7">
                  <c:v>683.96519999999998</c:v>
                </c:pt>
                <c:pt idx="8">
                  <c:v>686.61869999999999</c:v>
                </c:pt>
              </c:numCache>
            </c:numRef>
          </c:xVal>
          <c:yVal>
            <c:numRef>
              <c:f>'Holtz et al 2001 Curves'!$AD$4:$AD$12</c:f>
              <c:numCache>
                <c:formatCode>General</c:formatCode>
                <c:ptCount val="9"/>
                <c:pt idx="0">
                  <c:v>323.57046000000003</c:v>
                </c:pt>
                <c:pt idx="1">
                  <c:v>373.56718999999998</c:v>
                </c:pt>
                <c:pt idx="2">
                  <c:v>431.57616999999999</c:v>
                </c:pt>
                <c:pt idx="3">
                  <c:v>471.95839999999998</c:v>
                </c:pt>
                <c:pt idx="4">
                  <c:v>503.68770000000006</c:v>
                </c:pt>
                <c:pt idx="5">
                  <c:v>597.91464999999994</c:v>
                </c:pt>
                <c:pt idx="6">
                  <c:v>659.77143999999998</c:v>
                </c:pt>
                <c:pt idx="7">
                  <c:v>744.70425</c:v>
                </c:pt>
                <c:pt idx="8">
                  <c:v>799.18945000000008</c:v>
                </c:pt>
              </c:numCache>
            </c:numRef>
          </c:yVal>
          <c:smooth val="0"/>
          <c:extLst>
            <c:ext xmlns:c16="http://schemas.microsoft.com/office/drawing/2014/chart" uri="{C3380CC4-5D6E-409C-BE32-E72D297353CC}">
              <c16:uniqueId val="{00000009-82FC-471C-B701-B9B47B434C0E}"/>
            </c:ext>
          </c:extLst>
        </c:ser>
        <c:ser>
          <c:idx val="9"/>
          <c:order val="10"/>
          <c:tx>
            <c:strRef>
              <c:f>'Holtz et al 2001 Curves'!$AE$2</c:f>
              <c:strCache>
                <c:ptCount val="1"/>
                <c:pt idx="0">
                  <c:v>9% H2O</c:v>
                </c:pt>
              </c:strCache>
            </c:strRef>
          </c:tx>
          <c:spPr>
            <a:ln w="19050" cap="rnd">
              <a:solidFill>
                <a:schemeClr val="tx1"/>
              </a:solidFill>
              <a:round/>
            </a:ln>
            <a:effectLst/>
          </c:spPr>
          <c:marker>
            <c:symbol val="none"/>
          </c:marker>
          <c:xVal>
            <c:numRef>
              <c:f>'Holtz et al 2001 Curves'!$AE$4:$AE$10</c:f>
              <c:numCache>
                <c:formatCode>General</c:formatCode>
                <c:ptCount val="7"/>
                <c:pt idx="0">
                  <c:v>648.91010000000006</c:v>
                </c:pt>
                <c:pt idx="1">
                  <c:v>651.40660000000003</c:v>
                </c:pt>
                <c:pt idx="2">
                  <c:v>654.21720000000005</c:v>
                </c:pt>
                <c:pt idx="3">
                  <c:v>656.24980000000005</c:v>
                </c:pt>
                <c:pt idx="4">
                  <c:v>659.53049999999996</c:v>
                </c:pt>
                <c:pt idx="5">
                  <c:v>662.81177000000002</c:v>
                </c:pt>
                <c:pt idx="6">
                  <c:v>664.68619999999999</c:v>
                </c:pt>
              </c:numCache>
            </c:numRef>
          </c:xVal>
          <c:yVal>
            <c:numRef>
              <c:f>'Holtz et al 2001 Curves'!$AG$4:$AG$10</c:f>
              <c:numCache>
                <c:formatCode>General</c:formatCode>
                <c:ptCount val="7"/>
                <c:pt idx="0">
                  <c:v>405.62707999999998</c:v>
                </c:pt>
                <c:pt idx="1">
                  <c:v>452.09960000000001</c:v>
                </c:pt>
                <c:pt idx="2">
                  <c:v>516.20010000000002</c:v>
                </c:pt>
                <c:pt idx="3">
                  <c:v>578.37803000000008</c:v>
                </c:pt>
                <c:pt idx="4">
                  <c:v>662.99097000000006</c:v>
                </c:pt>
                <c:pt idx="5">
                  <c:v>751.12959999999998</c:v>
                </c:pt>
                <c:pt idx="6">
                  <c:v>797.92304999999999</c:v>
                </c:pt>
              </c:numCache>
            </c:numRef>
          </c:yVal>
          <c:smooth val="0"/>
          <c:extLst>
            <c:ext xmlns:c16="http://schemas.microsoft.com/office/drawing/2014/chart" uri="{C3380CC4-5D6E-409C-BE32-E72D297353CC}">
              <c16:uniqueId val="{0000000A-82FC-471C-B701-B9B47B434C0E}"/>
            </c:ext>
          </c:extLst>
        </c:ser>
        <c:ser>
          <c:idx val="10"/>
          <c:order val="11"/>
          <c:tx>
            <c:strRef>
              <c:f>'Holtz et al 2001 Curves'!$AH$2</c:f>
              <c:strCache>
                <c:ptCount val="1"/>
                <c:pt idx="0">
                  <c:v>10% H2O</c:v>
                </c:pt>
              </c:strCache>
            </c:strRef>
          </c:tx>
          <c:spPr>
            <a:ln w="19050" cap="rnd">
              <a:solidFill>
                <a:schemeClr val="tx1"/>
              </a:solidFill>
              <a:round/>
            </a:ln>
            <a:effectLst/>
          </c:spPr>
          <c:marker>
            <c:symbol val="none"/>
          </c:marker>
          <c:xVal>
            <c:numRef>
              <c:f>'Holtz et al 2001 Curves'!$AH$4:$AH$7</c:f>
              <c:numCache>
                <c:formatCode>General</c:formatCode>
                <c:ptCount val="4"/>
                <c:pt idx="0">
                  <c:v>642.20000000000005</c:v>
                </c:pt>
                <c:pt idx="1">
                  <c:v>643.85504000000003</c:v>
                </c:pt>
                <c:pt idx="2">
                  <c:v>646.28375000000005</c:v>
                </c:pt>
                <c:pt idx="3">
                  <c:v>649.30799999999999</c:v>
                </c:pt>
              </c:numCache>
            </c:numRef>
          </c:xVal>
          <c:yVal>
            <c:numRef>
              <c:f>'Holtz et al 2001 Curves'!$AJ$4:$AJ$7</c:f>
              <c:numCache>
                <c:formatCode>General</c:formatCode>
                <c:ptCount val="4"/>
                <c:pt idx="0">
                  <c:v>527</c:v>
                </c:pt>
                <c:pt idx="1">
                  <c:v>578.36170000000004</c:v>
                </c:pt>
                <c:pt idx="2">
                  <c:v>669.22979999999995</c:v>
                </c:pt>
                <c:pt idx="3">
                  <c:v>800.23260000000005</c:v>
                </c:pt>
              </c:numCache>
            </c:numRef>
          </c:yVal>
          <c:smooth val="0"/>
          <c:extLst>
            <c:ext xmlns:c16="http://schemas.microsoft.com/office/drawing/2014/chart" uri="{C3380CC4-5D6E-409C-BE32-E72D297353CC}">
              <c16:uniqueId val="{0000000B-82FC-471C-B701-B9B47B434C0E}"/>
            </c:ext>
          </c:extLst>
        </c:ser>
        <c:ser>
          <c:idx val="11"/>
          <c:order val="12"/>
          <c:tx>
            <c:strRef>
              <c:f>'Holtz et al 2001 Curves'!$AK$2</c:f>
              <c:strCache>
                <c:ptCount val="1"/>
                <c:pt idx="0">
                  <c:v>11% H2O</c:v>
                </c:pt>
              </c:strCache>
            </c:strRef>
          </c:tx>
          <c:spPr>
            <a:ln w="19050" cap="rnd">
              <a:solidFill>
                <a:schemeClr val="tx1"/>
              </a:solidFill>
              <a:round/>
            </a:ln>
            <a:effectLst/>
          </c:spPr>
          <c:marker>
            <c:symbol val="none"/>
          </c:marker>
          <c:xVal>
            <c:numRef>
              <c:f>'Holtz et al 2001 Curves'!$AK$4:$AK$7</c:f>
              <c:numCache>
                <c:formatCode>General</c:formatCode>
                <c:ptCount val="4"/>
                <c:pt idx="0">
                  <c:v>639.1</c:v>
                </c:pt>
                <c:pt idx="1">
                  <c:v>640</c:v>
                </c:pt>
                <c:pt idx="2">
                  <c:v>641</c:v>
                </c:pt>
                <c:pt idx="3">
                  <c:v>642</c:v>
                </c:pt>
              </c:numCache>
            </c:numRef>
          </c:xVal>
          <c:yVal>
            <c:numRef>
              <c:f>'Holtz et al 2001 Curves'!$AM$4:$AM$7</c:f>
              <c:numCache>
                <c:formatCode>General</c:formatCode>
                <c:ptCount val="4"/>
                <c:pt idx="0">
                  <c:v>624.57974000000002</c:v>
                </c:pt>
                <c:pt idx="1">
                  <c:v>675.31090000000006</c:v>
                </c:pt>
                <c:pt idx="2">
                  <c:v>742.41587000000004</c:v>
                </c:pt>
                <c:pt idx="3">
                  <c:v>799.88890000000004</c:v>
                </c:pt>
              </c:numCache>
            </c:numRef>
          </c:yVal>
          <c:smooth val="0"/>
          <c:extLst>
            <c:ext xmlns:c16="http://schemas.microsoft.com/office/drawing/2014/chart" uri="{C3380CC4-5D6E-409C-BE32-E72D297353CC}">
              <c16:uniqueId val="{0000000C-82FC-471C-B701-B9B47B434C0E}"/>
            </c:ext>
          </c:extLst>
        </c:ser>
        <c:ser>
          <c:idx val="15"/>
          <c:order val="13"/>
          <c:tx>
            <c:v>Location (T,P)</c:v>
          </c:tx>
          <c:spPr>
            <a:ln w="19050" cap="rnd">
              <a:solidFill>
                <a:schemeClr val="accent4">
                  <a:lumMod val="80000"/>
                  <a:lumOff val="20000"/>
                </a:schemeClr>
              </a:solidFill>
              <a:round/>
            </a:ln>
            <a:effectLst/>
          </c:spPr>
          <c:marker>
            <c:symbol val="x"/>
            <c:size val="5"/>
            <c:spPr>
              <a:solidFill>
                <a:srgbClr val="FF0000"/>
              </a:solidFill>
              <a:ln w="9525">
                <a:solidFill>
                  <a:schemeClr val="accent4">
                    <a:lumMod val="80000"/>
                    <a:lumOff val="20000"/>
                  </a:schemeClr>
                </a:solidFill>
              </a:ln>
              <a:effectLst/>
            </c:spPr>
          </c:marker>
          <c:xVal>
            <c:numRef>
              <c:f>Overview!$E$22</c:f>
              <c:numCache>
                <c:formatCode>General</c:formatCode>
                <c:ptCount val="1"/>
                <c:pt idx="0">
                  <c:v>718</c:v>
                </c:pt>
              </c:numCache>
            </c:numRef>
          </c:xVal>
          <c:yVal>
            <c:numRef>
              <c:f>Overview!$E$23</c:f>
              <c:numCache>
                <c:formatCode>General</c:formatCode>
                <c:ptCount val="1"/>
                <c:pt idx="0">
                  <c:v>200</c:v>
                </c:pt>
              </c:numCache>
            </c:numRef>
          </c:yVal>
          <c:smooth val="0"/>
          <c:extLst>
            <c:ext xmlns:c16="http://schemas.microsoft.com/office/drawing/2014/chart" uri="{C3380CC4-5D6E-409C-BE32-E72D297353CC}">
              <c16:uniqueId val="{0000000F-82FC-471C-B701-B9B47B434C0E}"/>
            </c:ext>
          </c:extLst>
        </c:ser>
        <c:dLbls>
          <c:showLegendKey val="0"/>
          <c:showVal val="0"/>
          <c:showCatName val="0"/>
          <c:showSerName val="0"/>
          <c:showPercent val="0"/>
          <c:showBubbleSize val="0"/>
        </c:dLbls>
        <c:axId val="634769544"/>
        <c:axId val="634768560"/>
      </c:scatterChart>
      <c:valAx>
        <c:axId val="634769544"/>
        <c:scaling>
          <c:orientation val="minMax"/>
          <c:min val="6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Temperature</a:t>
                </a:r>
                <a:r>
                  <a:rPr lang="en-CA" baseline="0"/>
                  <a:t> (</a:t>
                </a:r>
                <a:r>
                  <a:rPr lang="en-CA" i="1" baseline="0"/>
                  <a:t>C</a:t>
                </a:r>
                <a:r>
                  <a:rPr lang="en-CA" i="0" baseline="0"/>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768560"/>
        <c:crosses val="autoZero"/>
        <c:crossBetween val="midCat"/>
      </c:valAx>
      <c:valAx>
        <c:axId val="634768560"/>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Pressure (MPa)</a:t>
                </a:r>
              </a:p>
            </c:rich>
          </c:tx>
          <c:layout>
            <c:manualLayout>
              <c:xMode val="edge"/>
              <c:yMode val="edge"/>
              <c:x val="9.0876045074518349E-3"/>
              <c:y val="0.4553979351716220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7695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Holtz et al (2001)</a:t>
            </a:r>
            <a:r>
              <a:rPr lang="en-CA" baseline="0"/>
              <a:t> Melting Curves</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Solidus</c:v>
          </c:tx>
          <c:spPr>
            <a:ln w="19050" cap="rnd">
              <a:solidFill>
                <a:schemeClr val="tx1"/>
              </a:solidFill>
              <a:round/>
            </a:ln>
            <a:effectLst/>
          </c:spPr>
          <c:marker>
            <c:symbol val="none"/>
          </c:marker>
          <c:xVal>
            <c:numRef>
              <c:f>'Holtz et al 2001 Curves'!$A$4:$A$46</c:f>
              <c:numCache>
                <c:formatCode>General</c:formatCode>
                <c:ptCount val="43"/>
                <c:pt idx="0">
                  <c:v>960.24900000000002</c:v>
                </c:pt>
                <c:pt idx="1">
                  <c:v>950.50149999999996</c:v>
                </c:pt>
                <c:pt idx="2">
                  <c:v>940.13210000000004</c:v>
                </c:pt>
                <c:pt idx="3">
                  <c:v>923.95540000000005</c:v>
                </c:pt>
                <c:pt idx="4">
                  <c:v>900.10519999999997</c:v>
                </c:pt>
                <c:pt idx="5">
                  <c:v>878.32889999999998</c:v>
                </c:pt>
                <c:pt idx="6">
                  <c:v>866.09289999999999</c:v>
                </c:pt>
                <c:pt idx="7">
                  <c:v>855.51586999999995</c:v>
                </c:pt>
                <c:pt idx="8">
                  <c:v>843.07263</c:v>
                </c:pt>
                <c:pt idx="9">
                  <c:v>827.93320000000006</c:v>
                </c:pt>
                <c:pt idx="10">
                  <c:v>808.02449999999999</c:v>
                </c:pt>
                <c:pt idx="11">
                  <c:v>797.24080000000004</c:v>
                </c:pt>
                <c:pt idx="12">
                  <c:v>787.28687000000002</c:v>
                </c:pt>
                <c:pt idx="13">
                  <c:v>775.67409999999995</c:v>
                </c:pt>
                <c:pt idx="14">
                  <c:v>761.78009999999995</c:v>
                </c:pt>
                <c:pt idx="15">
                  <c:v>750.99689999999998</c:v>
                </c:pt>
                <c:pt idx="16">
                  <c:v>742.08025999999995</c:v>
                </c:pt>
                <c:pt idx="17">
                  <c:v>730.46795999999995</c:v>
                </c:pt>
                <c:pt idx="18">
                  <c:v>721.49969999999996</c:v>
                </c:pt>
                <c:pt idx="19">
                  <c:v>712.48004000000003</c:v>
                </c:pt>
                <c:pt idx="20">
                  <c:v>704.86053000000004</c:v>
                </c:pt>
                <c:pt idx="21">
                  <c:v>698.32965000000002</c:v>
                </c:pt>
                <c:pt idx="22">
                  <c:v>692.26599999999996</c:v>
                </c:pt>
                <c:pt idx="23">
                  <c:v>684.95870000000002</c:v>
                </c:pt>
                <c:pt idx="24">
                  <c:v>679.3623</c:v>
                </c:pt>
                <c:pt idx="25">
                  <c:v>674.07745</c:v>
                </c:pt>
                <c:pt idx="26">
                  <c:v>668.17089999999996</c:v>
                </c:pt>
                <c:pt idx="27">
                  <c:v>663.81970000000001</c:v>
                </c:pt>
                <c:pt idx="28">
                  <c:v>659.93535999999995</c:v>
                </c:pt>
                <c:pt idx="29">
                  <c:v>656.20734000000004</c:v>
                </c:pt>
                <c:pt idx="30">
                  <c:v>652.94719999999995</c:v>
                </c:pt>
                <c:pt idx="31">
                  <c:v>649.9973</c:v>
                </c:pt>
                <c:pt idx="32">
                  <c:v>647.67039999999997</c:v>
                </c:pt>
                <c:pt idx="33">
                  <c:v>645.65295000000003</c:v>
                </c:pt>
                <c:pt idx="34">
                  <c:v>643.94745</c:v>
                </c:pt>
                <c:pt idx="35">
                  <c:v>642.24170000000004</c:v>
                </c:pt>
                <c:pt idx="36">
                  <c:v>641.15826000000004</c:v>
                </c:pt>
                <c:pt idx="37">
                  <c:v>638.83745999999996</c:v>
                </c:pt>
                <c:pt idx="38">
                  <c:v>637.59973000000002</c:v>
                </c:pt>
                <c:pt idx="39">
                  <c:v>635.58765000000005</c:v>
                </c:pt>
                <c:pt idx="40">
                  <c:v>634.81757000000005</c:v>
                </c:pt>
                <c:pt idx="41">
                  <c:v>633.89670000000001</c:v>
                </c:pt>
                <c:pt idx="42">
                  <c:v>632.21010000000001</c:v>
                </c:pt>
              </c:numCache>
            </c:numRef>
          </c:xVal>
          <c:yVal>
            <c:numRef>
              <c:f>'Holtz et al 2001 Curves'!$C$4:$C$46</c:f>
              <c:numCache>
                <c:formatCode>General</c:formatCode>
                <c:ptCount val="43"/>
                <c:pt idx="0">
                  <c:v>1.0254623999999999</c:v>
                </c:pt>
                <c:pt idx="1">
                  <c:v>1.8871047999999999</c:v>
                </c:pt>
                <c:pt idx="2">
                  <c:v>4.4585900000000001</c:v>
                </c:pt>
                <c:pt idx="3">
                  <c:v>6.1795115999999997</c:v>
                </c:pt>
                <c:pt idx="4">
                  <c:v>9.1879480000000004</c:v>
                </c:pt>
                <c:pt idx="5">
                  <c:v>11.340208000000001</c:v>
                </c:pt>
                <c:pt idx="6">
                  <c:v>13.913022000000002</c:v>
                </c:pt>
                <c:pt idx="7">
                  <c:v>15.202605999999999</c:v>
                </c:pt>
                <c:pt idx="8">
                  <c:v>18.630267</c:v>
                </c:pt>
                <c:pt idx="9">
                  <c:v>22.487200000000001</c:v>
                </c:pt>
                <c:pt idx="10">
                  <c:v>30.621026999999998</c:v>
                </c:pt>
                <c:pt idx="11">
                  <c:v>36.184260000000002</c:v>
                </c:pt>
                <c:pt idx="12">
                  <c:v>43.028946000000005</c:v>
                </c:pt>
                <c:pt idx="13">
                  <c:v>51.584216000000005</c:v>
                </c:pt>
                <c:pt idx="14">
                  <c:v>61.423157000000003</c:v>
                </c:pt>
                <c:pt idx="15">
                  <c:v>69.97784</c:v>
                </c:pt>
                <c:pt idx="16">
                  <c:v>78.531190000000009</c:v>
                </c:pt>
                <c:pt idx="17">
                  <c:v>90.077905000000001</c:v>
                </c:pt>
                <c:pt idx="18">
                  <c:v>100.127014</c:v>
                </c:pt>
                <c:pt idx="19">
                  <c:v>112.95393999999999</c:v>
                </c:pt>
                <c:pt idx="20">
                  <c:v>126.7414</c:v>
                </c:pt>
                <c:pt idx="21">
                  <c:v>139.56655000000001</c:v>
                </c:pt>
                <c:pt idx="22">
                  <c:v>155.59647999999999</c:v>
                </c:pt>
                <c:pt idx="23">
                  <c:v>176.11448999999999</c:v>
                </c:pt>
                <c:pt idx="24">
                  <c:v>195.99025</c:v>
                </c:pt>
                <c:pt idx="25">
                  <c:v>218.42988</c:v>
                </c:pt>
                <c:pt idx="26">
                  <c:v>244.07507000000001</c:v>
                </c:pt>
                <c:pt idx="27">
                  <c:v>268.75763999999998</c:v>
                </c:pt>
                <c:pt idx="28">
                  <c:v>294.72192000000001</c:v>
                </c:pt>
                <c:pt idx="29">
                  <c:v>325.17323999999996</c:v>
                </c:pt>
                <c:pt idx="30">
                  <c:v>363.31655000000001</c:v>
                </c:pt>
                <c:pt idx="31">
                  <c:v>396.01091000000002</c:v>
                </c:pt>
                <c:pt idx="32">
                  <c:v>433.83306000000005</c:v>
                </c:pt>
                <c:pt idx="33">
                  <c:v>461.39853999999997</c:v>
                </c:pt>
                <c:pt idx="34">
                  <c:v>494.41255000000001</c:v>
                </c:pt>
                <c:pt idx="35">
                  <c:v>525.82397000000003</c:v>
                </c:pt>
                <c:pt idx="36">
                  <c:v>558.19650000000001</c:v>
                </c:pt>
                <c:pt idx="37">
                  <c:v>632.23649999999998</c:v>
                </c:pt>
                <c:pt idx="38">
                  <c:v>671.66045000000008</c:v>
                </c:pt>
                <c:pt idx="39">
                  <c:v>731.59770000000003</c:v>
                </c:pt>
                <c:pt idx="40">
                  <c:v>777.11104</c:v>
                </c:pt>
                <c:pt idx="41">
                  <c:v>851.47050000000002</c:v>
                </c:pt>
                <c:pt idx="42">
                  <c:v>996.98439999999994</c:v>
                </c:pt>
              </c:numCache>
            </c:numRef>
          </c:yVal>
          <c:smooth val="0"/>
          <c:extLst>
            <c:ext xmlns:c16="http://schemas.microsoft.com/office/drawing/2014/chart" uri="{C3380CC4-5D6E-409C-BE32-E72D297353CC}">
              <c16:uniqueId val="{00000000-1DCA-4131-B7B1-25C8077E4400}"/>
            </c:ext>
          </c:extLst>
        </c:ser>
        <c:ser>
          <c:idx val="1"/>
          <c:order val="1"/>
          <c:tx>
            <c:v>Anhydrous</c:v>
          </c:tx>
          <c:spPr>
            <a:ln w="19050" cap="rnd">
              <a:solidFill>
                <a:schemeClr val="tx1"/>
              </a:solidFill>
              <a:round/>
            </a:ln>
            <a:effectLst/>
          </c:spPr>
          <c:marker>
            <c:symbol val="none"/>
          </c:marker>
          <c:xVal>
            <c:numRef>
              <c:f>'Holtz et al 2001 Curves'!$D$4:$D$10</c:f>
              <c:numCache>
                <c:formatCode>General</c:formatCode>
                <c:ptCount val="7"/>
                <c:pt idx="0">
                  <c:v>959.78234999999995</c:v>
                </c:pt>
                <c:pt idx="1">
                  <c:v>975.19415000000004</c:v>
                </c:pt>
                <c:pt idx="2">
                  <c:v>994.80989999999997</c:v>
                </c:pt>
                <c:pt idx="3">
                  <c:v>1020.96405</c:v>
                </c:pt>
                <c:pt idx="4">
                  <c:v>1059.8839</c:v>
                </c:pt>
                <c:pt idx="5">
                  <c:v>1084.7920999999999</c:v>
                </c:pt>
                <c:pt idx="6">
                  <c:v>1119.0415</c:v>
                </c:pt>
              </c:numCache>
            </c:numRef>
          </c:xVal>
          <c:yVal>
            <c:numRef>
              <c:f>'Holtz et al 2001 Curves'!$F$4:$F$10</c:f>
              <c:numCache>
                <c:formatCode>General</c:formatCode>
                <c:ptCount val="7"/>
                <c:pt idx="0">
                  <c:v>0.59844489999999995</c:v>
                </c:pt>
                <c:pt idx="1">
                  <c:v>75.587379999999996</c:v>
                </c:pt>
                <c:pt idx="2">
                  <c:v>175.25277</c:v>
                </c:pt>
                <c:pt idx="3">
                  <c:v>306.96474999999998</c:v>
                </c:pt>
                <c:pt idx="4">
                  <c:v>503.41112999999996</c:v>
                </c:pt>
                <c:pt idx="5">
                  <c:v>625.82915000000003</c:v>
                </c:pt>
                <c:pt idx="6">
                  <c:v>797.91989999999998</c:v>
                </c:pt>
              </c:numCache>
            </c:numRef>
          </c:yVal>
          <c:smooth val="0"/>
          <c:extLst>
            <c:ext xmlns:c16="http://schemas.microsoft.com/office/drawing/2014/chart" uri="{C3380CC4-5D6E-409C-BE32-E72D297353CC}">
              <c16:uniqueId val="{00000001-1DCA-4131-B7B1-25C8077E4400}"/>
            </c:ext>
          </c:extLst>
        </c:ser>
        <c:ser>
          <c:idx val="2"/>
          <c:order val="2"/>
          <c:tx>
            <c:v>1% H2O</c:v>
          </c:tx>
          <c:spPr>
            <a:ln w="19050" cap="rnd">
              <a:solidFill>
                <a:schemeClr val="tx1"/>
              </a:solidFill>
              <a:round/>
            </a:ln>
            <a:effectLst/>
          </c:spPr>
          <c:marker>
            <c:symbol val="none"/>
          </c:marker>
          <c:xVal>
            <c:numRef>
              <c:f>'Holtz et al 2001 Curves'!$G$4:$G$15</c:f>
              <c:numCache>
                <c:formatCode>General</c:formatCode>
                <c:ptCount val="12"/>
                <c:pt idx="0">
                  <c:v>875.16639999999995</c:v>
                </c:pt>
                <c:pt idx="1">
                  <c:v>885.74980000000005</c:v>
                </c:pt>
                <c:pt idx="2">
                  <c:v>897.11194</c:v>
                </c:pt>
                <c:pt idx="3">
                  <c:v>910.80884000000003</c:v>
                </c:pt>
                <c:pt idx="4">
                  <c:v>921.70434999999998</c:v>
                </c:pt>
                <c:pt idx="5">
                  <c:v>936.18115</c:v>
                </c:pt>
                <c:pt idx="6">
                  <c:v>949.10144000000003</c:v>
                </c:pt>
                <c:pt idx="7">
                  <c:v>969.64984000000004</c:v>
                </c:pt>
                <c:pt idx="8">
                  <c:v>985.52855999999997</c:v>
                </c:pt>
                <c:pt idx="9">
                  <c:v>1008.7243999999999</c:v>
                </c:pt>
                <c:pt idx="10">
                  <c:v>1031.2977000000001</c:v>
                </c:pt>
                <c:pt idx="11">
                  <c:v>1049.0453</c:v>
                </c:pt>
              </c:numCache>
            </c:numRef>
          </c:xVal>
          <c:yVal>
            <c:numRef>
              <c:f>'Holtz et al 2001 Curves'!$I$4:$I$15</c:f>
              <c:numCache>
                <c:formatCode>General</c:formatCode>
                <c:ptCount val="12"/>
                <c:pt idx="0">
                  <c:v>13.158698000000001</c:v>
                </c:pt>
                <c:pt idx="1">
                  <c:v>50.010090000000005</c:v>
                </c:pt>
                <c:pt idx="2">
                  <c:v>92.309640000000002</c:v>
                </c:pt>
                <c:pt idx="3">
                  <c:v>144.22290000000001</c:v>
                </c:pt>
                <c:pt idx="4">
                  <c:v>186.84329</c:v>
                </c:pt>
                <c:pt idx="5">
                  <c:v>251.57649999999998</c:v>
                </c:pt>
                <c:pt idx="6">
                  <c:v>310.22107</c:v>
                </c:pt>
                <c:pt idx="7">
                  <c:v>406.03964999999999</c:v>
                </c:pt>
                <c:pt idx="8">
                  <c:v>482.31029999999998</c:v>
                </c:pt>
                <c:pt idx="9">
                  <c:v>597.03719999999998</c:v>
                </c:pt>
                <c:pt idx="10">
                  <c:v>709.8415</c:v>
                </c:pt>
                <c:pt idx="11">
                  <c:v>799.25186000000008</c:v>
                </c:pt>
              </c:numCache>
            </c:numRef>
          </c:yVal>
          <c:smooth val="0"/>
          <c:extLst>
            <c:ext xmlns:c16="http://schemas.microsoft.com/office/drawing/2014/chart" uri="{C3380CC4-5D6E-409C-BE32-E72D297353CC}">
              <c16:uniqueId val="{00000002-1DCA-4131-B7B1-25C8077E4400}"/>
            </c:ext>
          </c:extLst>
        </c:ser>
        <c:ser>
          <c:idx val="3"/>
          <c:order val="3"/>
          <c:tx>
            <c:strRef>
              <c:f>'Holtz et al 2001 Curves'!$J$2:$K$2</c:f>
              <c:strCache>
                <c:ptCount val="1"/>
                <c:pt idx="0">
                  <c:v>2% H2O</c:v>
                </c:pt>
              </c:strCache>
            </c:strRef>
          </c:tx>
          <c:spPr>
            <a:ln w="19050" cap="rnd">
              <a:solidFill>
                <a:schemeClr val="tx1"/>
              </a:solidFill>
              <a:round/>
            </a:ln>
            <a:effectLst/>
          </c:spPr>
          <c:marker>
            <c:symbol val="none"/>
          </c:marker>
          <c:xVal>
            <c:numRef>
              <c:f>'Holtz et al 2001 Curves'!$J$4:$J$15</c:f>
              <c:numCache>
                <c:formatCode>General</c:formatCode>
                <c:ptCount val="12"/>
                <c:pt idx="0">
                  <c:v>805.48424999999997</c:v>
                </c:pt>
                <c:pt idx="1">
                  <c:v>824.93939999999998</c:v>
                </c:pt>
                <c:pt idx="2">
                  <c:v>834.43380000000002</c:v>
                </c:pt>
                <c:pt idx="3">
                  <c:v>844.08410000000003</c:v>
                </c:pt>
                <c:pt idx="4">
                  <c:v>853.11220000000003</c:v>
                </c:pt>
                <c:pt idx="5">
                  <c:v>863.38599999999997</c:v>
                </c:pt>
                <c:pt idx="6">
                  <c:v>880.66565000000003</c:v>
                </c:pt>
                <c:pt idx="7">
                  <c:v>904.01575000000003</c:v>
                </c:pt>
                <c:pt idx="8">
                  <c:v>928.14520000000005</c:v>
                </c:pt>
                <c:pt idx="9">
                  <c:v>952.58569999999997</c:v>
                </c:pt>
                <c:pt idx="10">
                  <c:v>968.46469999999999</c:v>
                </c:pt>
                <c:pt idx="11">
                  <c:v>977.02655000000004</c:v>
                </c:pt>
              </c:numCache>
            </c:numRef>
          </c:xVal>
          <c:yVal>
            <c:numRef>
              <c:f>'Holtz et al 2001 Curves'!$L$4:$L$15</c:f>
              <c:numCache>
                <c:formatCode>General</c:formatCode>
                <c:ptCount val="12"/>
                <c:pt idx="0">
                  <c:v>32.759585999999999</c:v>
                </c:pt>
                <c:pt idx="1">
                  <c:v>102.29693</c:v>
                </c:pt>
                <c:pt idx="2">
                  <c:v>137.86704</c:v>
                </c:pt>
                <c:pt idx="3">
                  <c:v>175.68063999999998</c:v>
                </c:pt>
                <c:pt idx="4">
                  <c:v>213.49468000000002</c:v>
                </c:pt>
                <c:pt idx="5">
                  <c:v>259.00012000000004</c:v>
                </c:pt>
                <c:pt idx="6">
                  <c:v>341.35952000000003</c:v>
                </c:pt>
                <c:pt idx="7">
                  <c:v>448.39404000000002</c:v>
                </c:pt>
                <c:pt idx="8">
                  <c:v>564.72284999999999</c:v>
                </c:pt>
                <c:pt idx="9">
                  <c:v>680.73095999999998</c:v>
                </c:pt>
                <c:pt idx="10">
                  <c:v>759.24516999999992</c:v>
                </c:pt>
                <c:pt idx="11">
                  <c:v>798.98260000000005</c:v>
                </c:pt>
              </c:numCache>
            </c:numRef>
          </c:yVal>
          <c:smooth val="0"/>
          <c:extLst>
            <c:ext xmlns:c16="http://schemas.microsoft.com/office/drawing/2014/chart" uri="{C3380CC4-5D6E-409C-BE32-E72D297353CC}">
              <c16:uniqueId val="{00000003-1DCA-4131-B7B1-25C8077E4400}"/>
            </c:ext>
          </c:extLst>
        </c:ser>
        <c:ser>
          <c:idx val="4"/>
          <c:order val="4"/>
          <c:tx>
            <c:strRef>
              <c:f>'Holtz et al 2001 Curves'!$M$2</c:f>
              <c:strCache>
                <c:ptCount val="1"/>
                <c:pt idx="0">
                  <c:v>3% H2O</c:v>
                </c:pt>
              </c:strCache>
            </c:strRef>
          </c:tx>
          <c:spPr>
            <a:ln w="19050" cap="rnd">
              <a:solidFill>
                <a:schemeClr val="tx1"/>
              </a:solidFill>
              <a:round/>
            </a:ln>
            <a:effectLst/>
          </c:spPr>
          <c:marker>
            <c:symbol val="none"/>
          </c:marker>
          <c:xVal>
            <c:numRef>
              <c:f>'Holtz et al 2001 Curves'!$M$4:$M$16</c:f>
              <c:numCache>
                <c:formatCode>General</c:formatCode>
                <c:ptCount val="13"/>
                <c:pt idx="0">
                  <c:v>760.38030000000003</c:v>
                </c:pt>
                <c:pt idx="1">
                  <c:v>775.01085999999998</c:v>
                </c:pt>
                <c:pt idx="2">
                  <c:v>781.85913000000005</c:v>
                </c:pt>
                <c:pt idx="3">
                  <c:v>790.88720000000001</c:v>
                </c:pt>
                <c:pt idx="4">
                  <c:v>800.53800000000001</c:v>
                </c:pt>
                <c:pt idx="5">
                  <c:v>810.65643</c:v>
                </c:pt>
                <c:pt idx="6">
                  <c:v>823.73230000000001</c:v>
                </c:pt>
                <c:pt idx="7">
                  <c:v>835.25170000000003</c:v>
                </c:pt>
                <c:pt idx="8">
                  <c:v>849.10649999999998</c:v>
                </c:pt>
                <c:pt idx="9">
                  <c:v>863.42849999999999</c:v>
                </c:pt>
                <c:pt idx="10">
                  <c:v>882.42163000000005</c:v>
                </c:pt>
                <c:pt idx="11">
                  <c:v>899.70299999999997</c:v>
                </c:pt>
                <c:pt idx="12">
                  <c:v>916.82950000000005</c:v>
                </c:pt>
              </c:numCache>
            </c:numRef>
          </c:xVal>
          <c:yVal>
            <c:numRef>
              <c:f>'Holtz et al 2001 Curves'!$O$4:$O$16</c:f>
              <c:numCache>
                <c:formatCode>General</c:formatCode>
                <c:ptCount val="13"/>
                <c:pt idx="0">
                  <c:v>62.278859999999995</c:v>
                </c:pt>
                <c:pt idx="1">
                  <c:v>116.43503000000001</c:v>
                </c:pt>
                <c:pt idx="2">
                  <c:v>141.10962000000001</c:v>
                </c:pt>
                <c:pt idx="3">
                  <c:v>178.60314</c:v>
                </c:pt>
                <c:pt idx="4">
                  <c:v>219.62184999999999</c:v>
                </c:pt>
                <c:pt idx="5">
                  <c:v>265.76842999999997</c:v>
                </c:pt>
                <c:pt idx="6">
                  <c:v>324.73341999999997</c:v>
                </c:pt>
                <c:pt idx="7">
                  <c:v>377.60976999999997</c:v>
                </c:pt>
                <c:pt idx="8">
                  <c:v>443.30492999999996</c:v>
                </c:pt>
                <c:pt idx="9">
                  <c:v>512.52544</c:v>
                </c:pt>
                <c:pt idx="10">
                  <c:v>609.62715000000003</c:v>
                </c:pt>
                <c:pt idx="11">
                  <c:v>702.24297000000001</c:v>
                </c:pt>
                <c:pt idx="12">
                  <c:v>799.02549999999997</c:v>
                </c:pt>
              </c:numCache>
            </c:numRef>
          </c:yVal>
          <c:smooth val="0"/>
          <c:extLst>
            <c:ext xmlns:c16="http://schemas.microsoft.com/office/drawing/2014/chart" uri="{C3380CC4-5D6E-409C-BE32-E72D297353CC}">
              <c16:uniqueId val="{00000004-1DCA-4131-B7B1-25C8077E4400}"/>
            </c:ext>
          </c:extLst>
        </c:ser>
        <c:ser>
          <c:idx val="5"/>
          <c:order val="5"/>
          <c:tx>
            <c:strRef>
              <c:f>'Holtz et al 2001 Curves'!$P$2</c:f>
              <c:strCache>
                <c:ptCount val="1"/>
                <c:pt idx="0">
                  <c:v>4% H2O</c:v>
                </c:pt>
              </c:strCache>
            </c:strRef>
          </c:tx>
          <c:spPr>
            <a:ln w="19050" cap="rnd">
              <a:solidFill>
                <a:schemeClr val="tx1"/>
              </a:solidFill>
              <a:round/>
            </a:ln>
            <a:effectLst/>
          </c:spPr>
          <c:marker>
            <c:symbol val="none"/>
          </c:marker>
          <c:xVal>
            <c:numRef>
              <c:f>'Holtz et al 2001 Curves'!$P$4:$P$16</c:f>
              <c:numCache>
                <c:formatCode>General</c:formatCode>
                <c:ptCount val="13"/>
                <c:pt idx="0">
                  <c:v>724.92096000000004</c:v>
                </c:pt>
                <c:pt idx="1">
                  <c:v>737.0607</c:v>
                </c:pt>
                <c:pt idx="2">
                  <c:v>745.62189999999998</c:v>
                </c:pt>
                <c:pt idx="3">
                  <c:v>757.91890000000001</c:v>
                </c:pt>
                <c:pt idx="4">
                  <c:v>773.01909999999998</c:v>
                </c:pt>
                <c:pt idx="5">
                  <c:v>786.5625</c:v>
                </c:pt>
                <c:pt idx="6">
                  <c:v>797.14873999999998</c:v>
                </c:pt>
                <c:pt idx="7">
                  <c:v>805.08812999999998</c:v>
                </c:pt>
                <c:pt idx="8">
                  <c:v>816.92039999999997</c:v>
                </c:pt>
                <c:pt idx="9">
                  <c:v>829.37660000000005</c:v>
                </c:pt>
                <c:pt idx="10">
                  <c:v>839.18669999999997</c:v>
                </c:pt>
                <c:pt idx="11">
                  <c:v>848.84173999999996</c:v>
                </c:pt>
                <c:pt idx="12">
                  <c:v>860.21014000000002</c:v>
                </c:pt>
              </c:numCache>
            </c:numRef>
          </c:xVal>
          <c:yVal>
            <c:numRef>
              <c:f>'Holtz et al 2001 Curves'!$R$4:$R$16</c:f>
              <c:numCache>
                <c:formatCode>General</c:formatCode>
                <c:ptCount val="13"/>
                <c:pt idx="0">
                  <c:v>95.316895000000002</c:v>
                </c:pt>
                <c:pt idx="1">
                  <c:v>137.29536999999999</c:v>
                </c:pt>
                <c:pt idx="2">
                  <c:v>173.18666999999999</c:v>
                </c:pt>
                <c:pt idx="3">
                  <c:v>225.42143999999999</c:v>
                </c:pt>
                <c:pt idx="4">
                  <c:v>297.20546999999999</c:v>
                </c:pt>
                <c:pt idx="5">
                  <c:v>361.29831999999999</c:v>
                </c:pt>
                <c:pt idx="6">
                  <c:v>414.81635999999997</c:v>
                </c:pt>
                <c:pt idx="7">
                  <c:v>453.27217000000002</c:v>
                </c:pt>
                <c:pt idx="8">
                  <c:v>516.72520000000009</c:v>
                </c:pt>
                <c:pt idx="9">
                  <c:v>590.43419999999992</c:v>
                </c:pt>
                <c:pt idx="10">
                  <c:v>653.56816000000003</c:v>
                </c:pt>
                <c:pt idx="11">
                  <c:v>719.26635999999996</c:v>
                </c:pt>
                <c:pt idx="12">
                  <c:v>799.38633000000004</c:v>
                </c:pt>
              </c:numCache>
            </c:numRef>
          </c:yVal>
          <c:smooth val="0"/>
          <c:extLst>
            <c:ext xmlns:c16="http://schemas.microsoft.com/office/drawing/2014/chart" uri="{C3380CC4-5D6E-409C-BE32-E72D297353CC}">
              <c16:uniqueId val="{00000005-1DCA-4131-B7B1-25C8077E4400}"/>
            </c:ext>
          </c:extLst>
        </c:ser>
        <c:ser>
          <c:idx val="6"/>
          <c:order val="6"/>
          <c:tx>
            <c:strRef>
              <c:f>'Holtz et al 2001 Curves'!$S$2</c:f>
              <c:strCache>
                <c:ptCount val="1"/>
                <c:pt idx="0">
                  <c:v>5% H2O</c:v>
                </c:pt>
              </c:strCache>
            </c:strRef>
          </c:tx>
          <c:spPr>
            <a:ln w="19050" cap="rnd">
              <a:solidFill>
                <a:schemeClr val="tx1"/>
              </a:solidFill>
              <a:round/>
            </a:ln>
            <a:effectLst/>
          </c:spPr>
          <c:marker>
            <c:symbol val="none"/>
          </c:marker>
          <c:xVal>
            <c:numRef>
              <c:f>'Holtz et al 2001 Curves'!$S$4:$S$18</c:f>
              <c:numCache>
                <c:formatCode>General</c:formatCode>
                <c:ptCount val="15"/>
                <c:pt idx="0">
                  <c:v>703.30560000000003</c:v>
                </c:pt>
                <c:pt idx="1">
                  <c:v>706.72979999999995</c:v>
                </c:pt>
                <c:pt idx="2">
                  <c:v>711.24426000000005</c:v>
                </c:pt>
                <c:pt idx="3">
                  <c:v>717.78340000000003</c:v>
                </c:pt>
                <c:pt idx="4">
                  <c:v>722.76526000000001</c:v>
                </c:pt>
                <c:pt idx="5">
                  <c:v>728.21469999999999</c:v>
                </c:pt>
                <c:pt idx="6">
                  <c:v>739.26880000000006</c:v>
                </c:pt>
                <c:pt idx="7">
                  <c:v>747.83230000000003</c:v>
                </c:pt>
                <c:pt idx="8">
                  <c:v>756.55139999999994</c:v>
                </c:pt>
                <c:pt idx="9">
                  <c:v>766.98364000000004</c:v>
                </c:pt>
                <c:pt idx="10">
                  <c:v>774.45807000000002</c:v>
                </c:pt>
                <c:pt idx="11">
                  <c:v>780.53229999999996</c:v>
                </c:pt>
                <c:pt idx="12">
                  <c:v>790.03186000000005</c:v>
                </c:pt>
                <c:pt idx="13">
                  <c:v>800.46789999999999</c:v>
                </c:pt>
                <c:pt idx="14">
                  <c:v>808.72393999999997</c:v>
                </c:pt>
              </c:numCache>
            </c:numRef>
          </c:xVal>
          <c:yVal>
            <c:numRef>
              <c:f>'Holtz et al 2001 Curves'!$U$4:$U$18</c:f>
              <c:numCache>
                <c:formatCode>General</c:formatCode>
                <c:ptCount val="15"/>
                <c:pt idx="0">
                  <c:v>129.94763</c:v>
                </c:pt>
                <c:pt idx="1">
                  <c:v>142.76569000000001</c:v>
                </c:pt>
                <c:pt idx="2">
                  <c:v>164.23679999999999</c:v>
                </c:pt>
                <c:pt idx="3">
                  <c:v>200.45005</c:v>
                </c:pt>
                <c:pt idx="4">
                  <c:v>226.40799999999999</c:v>
                </c:pt>
                <c:pt idx="5">
                  <c:v>258.13486</c:v>
                </c:pt>
                <c:pt idx="6">
                  <c:v>318.70383000000004</c:v>
                </c:pt>
                <c:pt idx="7">
                  <c:v>368.37716999999998</c:v>
                </c:pt>
                <c:pt idx="8">
                  <c:v>418.69139999999999</c:v>
                </c:pt>
                <c:pt idx="9">
                  <c:v>481.50439999999998</c:v>
                </c:pt>
                <c:pt idx="10">
                  <c:v>529.89650000000006</c:v>
                </c:pt>
                <c:pt idx="11">
                  <c:v>576.68696</c:v>
                </c:pt>
                <c:pt idx="12">
                  <c:v>643.34680000000003</c:v>
                </c:pt>
                <c:pt idx="13">
                  <c:v>728.59564999999998</c:v>
                </c:pt>
                <c:pt idx="14">
                  <c:v>800.06405999999993</c:v>
                </c:pt>
              </c:numCache>
            </c:numRef>
          </c:yVal>
          <c:smooth val="0"/>
          <c:extLst>
            <c:ext xmlns:c16="http://schemas.microsoft.com/office/drawing/2014/chart" uri="{C3380CC4-5D6E-409C-BE32-E72D297353CC}">
              <c16:uniqueId val="{00000006-1DCA-4131-B7B1-25C8077E4400}"/>
            </c:ext>
          </c:extLst>
        </c:ser>
        <c:ser>
          <c:idx val="7"/>
          <c:order val="7"/>
          <c:tx>
            <c:strRef>
              <c:f>'Holtz et al 2001 Curves'!$V$2</c:f>
              <c:strCache>
                <c:ptCount val="1"/>
                <c:pt idx="0">
                  <c:v>6% H2O</c:v>
                </c:pt>
              </c:strCache>
            </c:strRef>
          </c:tx>
          <c:spPr>
            <a:ln w="19050" cap="rnd">
              <a:solidFill>
                <a:schemeClr val="tx1"/>
              </a:solidFill>
              <a:round/>
            </a:ln>
            <a:effectLst/>
          </c:spPr>
          <c:marker>
            <c:symbol val="none"/>
          </c:marker>
          <c:xVal>
            <c:numRef>
              <c:f>'Holtz et al 2001 Curves'!$V$4:$V$13</c:f>
              <c:numCache>
                <c:formatCode>General</c:formatCode>
                <c:ptCount val="10"/>
                <c:pt idx="0">
                  <c:v>683.71496999999999</c:v>
                </c:pt>
                <c:pt idx="1">
                  <c:v>687.76319999999998</c:v>
                </c:pt>
                <c:pt idx="2">
                  <c:v>694.45839999999998</c:v>
                </c:pt>
                <c:pt idx="3">
                  <c:v>702.55529999999999</c:v>
                </c:pt>
                <c:pt idx="4">
                  <c:v>713.45592999999997</c:v>
                </c:pt>
                <c:pt idx="5">
                  <c:v>722.95574999999997</c:v>
                </c:pt>
                <c:pt idx="6">
                  <c:v>730.74390000000005</c:v>
                </c:pt>
                <c:pt idx="7">
                  <c:v>739.62396000000001</c:v>
                </c:pt>
                <c:pt idx="8">
                  <c:v>749.43970000000002</c:v>
                </c:pt>
                <c:pt idx="9">
                  <c:v>760.81500000000005</c:v>
                </c:pt>
              </c:numCache>
            </c:numRef>
          </c:xVal>
          <c:yVal>
            <c:numRef>
              <c:f>'Holtz et al 2001 Curves'!$X$4:$X$13</c:f>
              <c:numCache>
                <c:formatCode>General</c:formatCode>
                <c:ptCount val="10"/>
                <c:pt idx="0">
                  <c:v>179.96152000000001</c:v>
                </c:pt>
                <c:pt idx="1">
                  <c:v>203.67655999999999</c:v>
                </c:pt>
                <c:pt idx="2">
                  <c:v>243.41532999999998</c:v>
                </c:pt>
                <c:pt idx="3">
                  <c:v>293.73003</c:v>
                </c:pt>
                <c:pt idx="4">
                  <c:v>366.79910000000001</c:v>
                </c:pt>
                <c:pt idx="5">
                  <c:v>434.74097</c:v>
                </c:pt>
                <c:pt idx="6">
                  <c:v>498.83789999999999</c:v>
                </c:pt>
                <c:pt idx="7">
                  <c:v>581.20326999999997</c:v>
                </c:pt>
                <c:pt idx="8">
                  <c:v>677.99099999999999</c:v>
                </c:pt>
                <c:pt idx="9">
                  <c:v>799.13660000000004</c:v>
                </c:pt>
              </c:numCache>
            </c:numRef>
          </c:yVal>
          <c:smooth val="0"/>
          <c:extLst>
            <c:ext xmlns:c16="http://schemas.microsoft.com/office/drawing/2014/chart" uri="{C3380CC4-5D6E-409C-BE32-E72D297353CC}">
              <c16:uniqueId val="{00000007-1DCA-4131-B7B1-25C8077E4400}"/>
            </c:ext>
          </c:extLst>
        </c:ser>
        <c:ser>
          <c:idx val="14"/>
          <c:order val="8"/>
          <c:tx>
            <c:strRef>
              <c:f>'Holtz et al 2001 Curves'!$Y$2</c:f>
              <c:strCache>
                <c:ptCount val="1"/>
                <c:pt idx="0">
                  <c:v>7% H2O</c:v>
                </c:pt>
              </c:strCache>
            </c:strRef>
          </c:tx>
          <c:spPr>
            <a:ln w="19050" cap="rnd">
              <a:solidFill>
                <a:schemeClr val="tx1"/>
              </a:solidFill>
              <a:round/>
            </a:ln>
            <a:effectLst/>
          </c:spPr>
          <c:marker>
            <c:symbol val="none"/>
          </c:marker>
          <c:xVal>
            <c:numRef>
              <c:f>'Holtz et al 2001 Curves'!$Y$4:$Y$13</c:f>
              <c:numCache>
                <c:formatCode>General</c:formatCode>
                <c:ptCount val="10"/>
                <c:pt idx="0">
                  <c:v>669.25900000000001</c:v>
                </c:pt>
                <c:pt idx="1">
                  <c:v>674.24419999999998</c:v>
                </c:pt>
                <c:pt idx="2">
                  <c:v>679.22990000000004</c:v>
                </c:pt>
                <c:pt idx="3">
                  <c:v>684.68273999999997</c:v>
                </c:pt>
                <c:pt idx="4">
                  <c:v>690.91520000000003</c:v>
                </c:pt>
                <c:pt idx="5">
                  <c:v>694.81100000000004</c:v>
                </c:pt>
                <c:pt idx="6">
                  <c:v>701.82590000000005</c:v>
                </c:pt>
                <c:pt idx="7">
                  <c:v>706.65935999999999</c:v>
                </c:pt>
                <c:pt idx="8">
                  <c:v>712.27279999999996</c:v>
                </c:pt>
                <c:pt idx="9">
                  <c:v>716.95050000000003</c:v>
                </c:pt>
              </c:numCache>
            </c:numRef>
          </c:xVal>
          <c:yVal>
            <c:numRef>
              <c:f>'Holtz et al 2001 Curves'!$AA$4:$AA$13</c:f>
              <c:numCache>
                <c:formatCode>General</c:formatCode>
                <c:ptCount val="10"/>
                <c:pt idx="0">
                  <c:v>239.26662999999999</c:v>
                </c:pt>
                <c:pt idx="1">
                  <c:v>285.41687000000002</c:v>
                </c:pt>
                <c:pt idx="2">
                  <c:v>334.13119999999998</c:v>
                </c:pt>
                <c:pt idx="3">
                  <c:v>385.72979999999995</c:v>
                </c:pt>
                <c:pt idx="4">
                  <c:v>448.54579999999999</c:v>
                </c:pt>
                <c:pt idx="5">
                  <c:v>490.85069999999996</c:v>
                </c:pt>
                <c:pt idx="6">
                  <c:v>581.87120000000004</c:v>
                </c:pt>
                <c:pt idx="7">
                  <c:v>650.13689999999997</c:v>
                </c:pt>
                <c:pt idx="8">
                  <c:v>732.18410000000006</c:v>
                </c:pt>
                <c:pt idx="9">
                  <c:v>799.16786999999999</c:v>
                </c:pt>
              </c:numCache>
            </c:numRef>
          </c:yVal>
          <c:smooth val="0"/>
          <c:extLst>
            <c:ext xmlns:c16="http://schemas.microsoft.com/office/drawing/2014/chart" uri="{C3380CC4-5D6E-409C-BE32-E72D297353CC}">
              <c16:uniqueId val="{00000010-1DCA-4131-B7B1-25C8077E4400}"/>
            </c:ext>
          </c:extLst>
        </c:ser>
        <c:ser>
          <c:idx val="8"/>
          <c:order val="9"/>
          <c:tx>
            <c:strRef>
              <c:f>'Holtz et al 2001 Curves'!$AB$2</c:f>
              <c:strCache>
                <c:ptCount val="1"/>
                <c:pt idx="0">
                  <c:v>8% H2O</c:v>
                </c:pt>
              </c:strCache>
            </c:strRef>
          </c:tx>
          <c:spPr>
            <a:ln w="19050" cap="rnd">
              <a:solidFill>
                <a:schemeClr val="tx1"/>
              </a:solidFill>
              <a:round/>
            </a:ln>
            <a:effectLst/>
          </c:spPr>
          <c:marker>
            <c:symbol val="none"/>
          </c:marker>
          <c:xVal>
            <c:numRef>
              <c:f>'Holtz et al 2001 Curves'!$AB$4:$AB$12</c:f>
              <c:numCache>
                <c:formatCode>General</c:formatCode>
                <c:ptCount val="9"/>
                <c:pt idx="0">
                  <c:v>656.51819999999998</c:v>
                </c:pt>
                <c:pt idx="1">
                  <c:v>661.03740000000005</c:v>
                </c:pt>
                <c:pt idx="2">
                  <c:v>666.33579999999995</c:v>
                </c:pt>
                <c:pt idx="3">
                  <c:v>669.60910000000001</c:v>
                </c:pt>
                <c:pt idx="4">
                  <c:v>671.63653999999997</c:v>
                </c:pt>
                <c:pt idx="5">
                  <c:v>676.78539999999998</c:v>
                </c:pt>
                <c:pt idx="6">
                  <c:v>679.75120000000004</c:v>
                </c:pt>
                <c:pt idx="7">
                  <c:v>683.96519999999998</c:v>
                </c:pt>
                <c:pt idx="8">
                  <c:v>686.61869999999999</c:v>
                </c:pt>
              </c:numCache>
            </c:numRef>
          </c:xVal>
          <c:yVal>
            <c:numRef>
              <c:f>'Holtz et al 2001 Curves'!$AD$4:$AD$12</c:f>
              <c:numCache>
                <c:formatCode>General</c:formatCode>
                <c:ptCount val="9"/>
                <c:pt idx="0">
                  <c:v>323.57046000000003</c:v>
                </c:pt>
                <c:pt idx="1">
                  <c:v>373.56718999999998</c:v>
                </c:pt>
                <c:pt idx="2">
                  <c:v>431.57616999999999</c:v>
                </c:pt>
                <c:pt idx="3">
                  <c:v>471.95839999999998</c:v>
                </c:pt>
                <c:pt idx="4">
                  <c:v>503.68770000000006</c:v>
                </c:pt>
                <c:pt idx="5">
                  <c:v>597.91464999999994</c:v>
                </c:pt>
                <c:pt idx="6">
                  <c:v>659.77143999999998</c:v>
                </c:pt>
                <c:pt idx="7">
                  <c:v>744.70425</c:v>
                </c:pt>
                <c:pt idx="8">
                  <c:v>799.18945000000008</c:v>
                </c:pt>
              </c:numCache>
            </c:numRef>
          </c:yVal>
          <c:smooth val="0"/>
          <c:extLst>
            <c:ext xmlns:c16="http://schemas.microsoft.com/office/drawing/2014/chart" uri="{C3380CC4-5D6E-409C-BE32-E72D297353CC}">
              <c16:uniqueId val="{00000008-1DCA-4131-B7B1-25C8077E4400}"/>
            </c:ext>
          </c:extLst>
        </c:ser>
        <c:ser>
          <c:idx val="9"/>
          <c:order val="10"/>
          <c:tx>
            <c:strRef>
              <c:f>'Holtz et al 2001 Curves'!$AE$2</c:f>
              <c:strCache>
                <c:ptCount val="1"/>
                <c:pt idx="0">
                  <c:v>9% H2O</c:v>
                </c:pt>
              </c:strCache>
            </c:strRef>
          </c:tx>
          <c:spPr>
            <a:ln w="19050" cap="rnd">
              <a:solidFill>
                <a:schemeClr val="tx1"/>
              </a:solidFill>
              <a:round/>
            </a:ln>
            <a:effectLst/>
          </c:spPr>
          <c:marker>
            <c:symbol val="none"/>
          </c:marker>
          <c:xVal>
            <c:numRef>
              <c:f>'Holtz et al 2001 Curves'!$AE$4:$AE$10</c:f>
              <c:numCache>
                <c:formatCode>General</c:formatCode>
                <c:ptCount val="7"/>
                <c:pt idx="0">
                  <c:v>648.91010000000006</c:v>
                </c:pt>
                <c:pt idx="1">
                  <c:v>651.40660000000003</c:v>
                </c:pt>
                <c:pt idx="2">
                  <c:v>654.21720000000005</c:v>
                </c:pt>
                <c:pt idx="3">
                  <c:v>656.24980000000005</c:v>
                </c:pt>
                <c:pt idx="4">
                  <c:v>659.53049999999996</c:v>
                </c:pt>
                <c:pt idx="5">
                  <c:v>662.81177000000002</c:v>
                </c:pt>
                <c:pt idx="6">
                  <c:v>664.68619999999999</c:v>
                </c:pt>
              </c:numCache>
            </c:numRef>
          </c:xVal>
          <c:yVal>
            <c:numRef>
              <c:f>'Holtz et al 2001 Curves'!$AG$4:$AG$10</c:f>
              <c:numCache>
                <c:formatCode>General</c:formatCode>
                <c:ptCount val="7"/>
                <c:pt idx="0">
                  <c:v>405.62707999999998</c:v>
                </c:pt>
                <c:pt idx="1">
                  <c:v>452.09960000000001</c:v>
                </c:pt>
                <c:pt idx="2">
                  <c:v>516.20010000000002</c:v>
                </c:pt>
                <c:pt idx="3">
                  <c:v>578.37803000000008</c:v>
                </c:pt>
                <c:pt idx="4">
                  <c:v>662.99097000000006</c:v>
                </c:pt>
                <c:pt idx="5">
                  <c:v>751.12959999999998</c:v>
                </c:pt>
                <c:pt idx="6">
                  <c:v>797.92304999999999</c:v>
                </c:pt>
              </c:numCache>
            </c:numRef>
          </c:yVal>
          <c:smooth val="0"/>
          <c:extLst>
            <c:ext xmlns:c16="http://schemas.microsoft.com/office/drawing/2014/chart" uri="{C3380CC4-5D6E-409C-BE32-E72D297353CC}">
              <c16:uniqueId val="{0000000A-1DCA-4131-B7B1-25C8077E4400}"/>
            </c:ext>
          </c:extLst>
        </c:ser>
        <c:ser>
          <c:idx val="10"/>
          <c:order val="11"/>
          <c:tx>
            <c:strRef>
              <c:f>'Holtz et al 2001 Curves'!$AH$2</c:f>
              <c:strCache>
                <c:ptCount val="1"/>
                <c:pt idx="0">
                  <c:v>10% H2O</c:v>
                </c:pt>
              </c:strCache>
            </c:strRef>
          </c:tx>
          <c:spPr>
            <a:ln w="19050" cap="rnd">
              <a:solidFill>
                <a:schemeClr val="tx1"/>
              </a:solidFill>
              <a:round/>
            </a:ln>
            <a:effectLst/>
          </c:spPr>
          <c:marker>
            <c:symbol val="none"/>
          </c:marker>
          <c:xVal>
            <c:numRef>
              <c:f>'Holtz et al 2001 Curves'!$AH$4:$AH$7</c:f>
              <c:numCache>
                <c:formatCode>General</c:formatCode>
                <c:ptCount val="4"/>
                <c:pt idx="0">
                  <c:v>642.20000000000005</c:v>
                </c:pt>
                <c:pt idx="1">
                  <c:v>643.85504000000003</c:v>
                </c:pt>
                <c:pt idx="2">
                  <c:v>646.28375000000005</c:v>
                </c:pt>
                <c:pt idx="3">
                  <c:v>649.30799999999999</c:v>
                </c:pt>
              </c:numCache>
            </c:numRef>
          </c:xVal>
          <c:yVal>
            <c:numRef>
              <c:f>'Holtz et al 2001 Curves'!$AJ$4:$AJ$7</c:f>
              <c:numCache>
                <c:formatCode>General</c:formatCode>
                <c:ptCount val="4"/>
                <c:pt idx="0">
                  <c:v>527</c:v>
                </c:pt>
                <c:pt idx="1">
                  <c:v>578.36170000000004</c:v>
                </c:pt>
                <c:pt idx="2">
                  <c:v>669.22979999999995</c:v>
                </c:pt>
                <c:pt idx="3">
                  <c:v>800.23260000000005</c:v>
                </c:pt>
              </c:numCache>
            </c:numRef>
          </c:yVal>
          <c:smooth val="0"/>
          <c:extLst>
            <c:ext xmlns:c16="http://schemas.microsoft.com/office/drawing/2014/chart" uri="{C3380CC4-5D6E-409C-BE32-E72D297353CC}">
              <c16:uniqueId val="{0000000B-1DCA-4131-B7B1-25C8077E4400}"/>
            </c:ext>
          </c:extLst>
        </c:ser>
        <c:ser>
          <c:idx val="11"/>
          <c:order val="12"/>
          <c:tx>
            <c:strRef>
              <c:f>'Holtz et al 2001 Curves'!$AK$2</c:f>
              <c:strCache>
                <c:ptCount val="1"/>
                <c:pt idx="0">
                  <c:v>11% H2O</c:v>
                </c:pt>
              </c:strCache>
            </c:strRef>
          </c:tx>
          <c:spPr>
            <a:ln w="19050" cap="rnd">
              <a:solidFill>
                <a:schemeClr val="tx1"/>
              </a:solidFill>
              <a:round/>
            </a:ln>
            <a:effectLst/>
          </c:spPr>
          <c:marker>
            <c:symbol val="none"/>
          </c:marker>
          <c:xVal>
            <c:numRef>
              <c:f>'Holtz et al 2001 Curves'!$AK$4:$AK$7</c:f>
              <c:numCache>
                <c:formatCode>General</c:formatCode>
                <c:ptCount val="4"/>
                <c:pt idx="0">
                  <c:v>639.1</c:v>
                </c:pt>
                <c:pt idx="1">
                  <c:v>640</c:v>
                </c:pt>
                <c:pt idx="2">
                  <c:v>641</c:v>
                </c:pt>
                <c:pt idx="3">
                  <c:v>642</c:v>
                </c:pt>
              </c:numCache>
            </c:numRef>
          </c:xVal>
          <c:yVal>
            <c:numRef>
              <c:f>'Holtz et al 2001 Curves'!$AM$4:$AM$7</c:f>
              <c:numCache>
                <c:formatCode>General</c:formatCode>
                <c:ptCount val="4"/>
                <c:pt idx="0">
                  <c:v>624.57974000000002</c:v>
                </c:pt>
                <c:pt idx="1">
                  <c:v>675.31090000000006</c:v>
                </c:pt>
                <c:pt idx="2">
                  <c:v>742.41587000000004</c:v>
                </c:pt>
                <c:pt idx="3">
                  <c:v>799.88890000000004</c:v>
                </c:pt>
              </c:numCache>
            </c:numRef>
          </c:yVal>
          <c:smooth val="0"/>
          <c:extLst>
            <c:ext xmlns:c16="http://schemas.microsoft.com/office/drawing/2014/chart" uri="{C3380CC4-5D6E-409C-BE32-E72D297353CC}">
              <c16:uniqueId val="{0000000D-1DCA-4131-B7B1-25C8077E4400}"/>
            </c:ext>
          </c:extLst>
        </c:ser>
        <c:ser>
          <c:idx val="12"/>
          <c:order val="13"/>
          <c:tx>
            <c:strRef>
              <c:f>'Holtz et al 2001 Curves'!$AM$2</c:f>
              <c:strCache>
                <c:ptCount val="1"/>
              </c:strCache>
            </c:strRef>
          </c:tx>
          <c:spPr>
            <a:ln w="25400" cap="rnd">
              <a:solidFill>
                <a:schemeClr val="tx1"/>
              </a:solidFill>
              <a:round/>
            </a:ln>
            <a:effectLst/>
          </c:spPr>
          <c:marker>
            <c:symbol val="none"/>
          </c:marker>
          <c:xVal>
            <c:numRef>
              <c:f>'Holtz et al 2001 Curves'!$AM$4:$AM$6</c:f>
              <c:numCache>
                <c:formatCode>General</c:formatCode>
                <c:ptCount val="3"/>
                <c:pt idx="0">
                  <c:v>624.57974000000002</c:v>
                </c:pt>
                <c:pt idx="1">
                  <c:v>675.31090000000006</c:v>
                </c:pt>
                <c:pt idx="2">
                  <c:v>742.41587000000004</c:v>
                </c:pt>
              </c:numCache>
            </c:numRef>
          </c:xVal>
          <c:yVal>
            <c:numRef>
              <c:f>'Holtz et al 2001 Curves'!$AN$4:$AN$6</c:f>
              <c:numCache>
                <c:formatCode>General</c:formatCode>
                <c:ptCount val="3"/>
              </c:numCache>
            </c:numRef>
          </c:yVal>
          <c:smooth val="0"/>
          <c:extLst>
            <c:ext xmlns:c16="http://schemas.microsoft.com/office/drawing/2014/chart" uri="{C3380CC4-5D6E-409C-BE32-E72D297353CC}">
              <c16:uniqueId val="{0000000E-1DCA-4131-B7B1-25C8077E4400}"/>
            </c:ext>
          </c:extLst>
        </c:ser>
        <c:ser>
          <c:idx val="13"/>
          <c:order val="14"/>
          <c:tx>
            <c:strRef>
              <c:f>'Holtz et al 2001 Curves'!$AO$2</c:f>
              <c:strCache>
                <c:ptCount val="1"/>
              </c:strCache>
            </c:strRef>
          </c:tx>
          <c:spPr>
            <a:ln w="25400" cap="rnd">
              <a:solidFill>
                <a:schemeClr val="tx1"/>
              </a:solidFill>
              <a:round/>
            </a:ln>
            <a:effectLst/>
          </c:spPr>
          <c:marker>
            <c:symbol val="none"/>
          </c:marker>
          <c:xVal>
            <c:numRef>
              <c:f>'Holtz et al 2001 Curves'!$AO$4:$AO$6</c:f>
              <c:numCache>
                <c:formatCode>General</c:formatCode>
                <c:ptCount val="3"/>
              </c:numCache>
            </c:numRef>
          </c:xVal>
          <c:yVal>
            <c:numRef>
              <c:f>'Holtz et al 2001 Curves'!$AP$4:$AP$6</c:f>
              <c:numCache>
                <c:formatCode>General</c:formatCode>
                <c:ptCount val="3"/>
              </c:numCache>
            </c:numRef>
          </c:yVal>
          <c:smooth val="0"/>
          <c:extLst>
            <c:ext xmlns:c16="http://schemas.microsoft.com/office/drawing/2014/chart" uri="{C3380CC4-5D6E-409C-BE32-E72D297353CC}">
              <c16:uniqueId val="{0000000F-1DCA-4131-B7B1-25C8077E4400}"/>
            </c:ext>
          </c:extLst>
        </c:ser>
        <c:dLbls>
          <c:showLegendKey val="0"/>
          <c:showVal val="0"/>
          <c:showCatName val="0"/>
          <c:showSerName val="0"/>
          <c:showPercent val="0"/>
          <c:showBubbleSize val="0"/>
        </c:dLbls>
        <c:axId val="634769544"/>
        <c:axId val="634768560"/>
      </c:scatterChart>
      <c:valAx>
        <c:axId val="634769544"/>
        <c:scaling>
          <c:orientation val="minMax"/>
          <c:min val="6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Temperature</a:t>
                </a:r>
                <a:r>
                  <a:rPr lang="en-CA" baseline="0"/>
                  <a:t> (</a:t>
                </a:r>
                <a:r>
                  <a:rPr lang="en-CA" i="1" baseline="0"/>
                  <a:t>C</a:t>
                </a:r>
                <a:r>
                  <a:rPr lang="en-CA" i="0" baseline="0"/>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768560"/>
        <c:crosses val="autoZero"/>
        <c:crossBetween val="midCat"/>
      </c:valAx>
      <c:valAx>
        <c:axId val="634768560"/>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Pressure (MPa)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7695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Holtz et al (2001)</a:t>
            </a:r>
            <a:r>
              <a:rPr lang="en-CA" baseline="0"/>
              <a:t> Melting Curves</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Solidus</c:v>
          </c:tx>
          <c:spPr>
            <a:ln w="19050" cap="rnd">
              <a:solidFill>
                <a:schemeClr val="tx1"/>
              </a:solidFill>
              <a:round/>
            </a:ln>
            <a:effectLst/>
          </c:spPr>
          <c:marker>
            <c:symbol val="none"/>
          </c:marker>
          <c:xVal>
            <c:numRef>
              <c:f>'Holtz et al 2001 Curves'!$A$4:$A$46</c:f>
              <c:numCache>
                <c:formatCode>General</c:formatCode>
                <c:ptCount val="43"/>
                <c:pt idx="0">
                  <c:v>960.24900000000002</c:v>
                </c:pt>
                <c:pt idx="1">
                  <c:v>950.50149999999996</c:v>
                </c:pt>
                <c:pt idx="2">
                  <c:v>940.13210000000004</c:v>
                </c:pt>
                <c:pt idx="3">
                  <c:v>923.95540000000005</c:v>
                </c:pt>
                <c:pt idx="4">
                  <c:v>900.10519999999997</c:v>
                </c:pt>
                <c:pt idx="5">
                  <c:v>878.32889999999998</c:v>
                </c:pt>
                <c:pt idx="6">
                  <c:v>866.09289999999999</c:v>
                </c:pt>
                <c:pt idx="7">
                  <c:v>855.51586999999995</c:v>
                </c:pt>
                <c:pt idx="8">
                  <c:v>843.07263</c:v>
                </c:pt>
                <c:pt idx="9">
                  <c:v>827.93320000000006</c:v>
                </c:pt>
                <c:pt idx="10">
                  <c:v>808.02449999999999</c:v>
                </c:pt>
                <c:pt idx="11">
                  <c:v>797.24080000000004</c:v>
                </c:pt>
                <c:pt idx="12">
                  <c:v>787.28687000000002</c:v>
                </c:pt>
                <c:pt idx="13">
                  <c:v>775.67409999999995</c:v>
                </c:pt>
                <c:pt idx="14">
                  <c:v>761.78009999999995</c:v>
                </c:pt>
                <c:pt idx="15">
                  <c:v>750.99689999999998</c:v>
                </c:pt>
                <c:pt idx="16">
                  <c:v>742.08025999999995</c:v>
                </c:pt>
                <c:pt idx="17">
                  <c:v>730.46795999999995</c:v>
                </c:pt>
                <c:pt idx="18">
                  <c:v>721.49969999999996</c:v>
                </c:pt>
                <c:pt idx="19">
                  <c:v>712.48004000000003</c:v>
                </c:pt>
                <c:pt idx="20">
                  <c:v>704.86053000000004</c:v>
                </c:pt>
                <c:pt idx="21">
                  <c:v>698.32965000000002</c:v>
                </c:pt>
                <c:pt idx="22">
                  <c:v>692.26599999999996</c:v>
                </c:pt>
                <c:pt idx="23">
                  <c:v>684.95870000000002</c:v>
                </c:pt>
                <c:pt idx="24">
                  <c:v>679.3623</c:v>
                </c:pt>
                <c:pt idx="25">
                  <c:v>674.07745</c:v>
                </c:pt>
                <c:pt idx="26">
                  <c:v>668.17089999999996</c:v>
                </c:pt>
                <c:pt idx="27">
                  <c:v>663.81970000000001</c:v>
                </c:pt>
                <c:pt idx="28">
                  <c:v>659.93535999999995</c:v>
                </c:pt>
                <c:pt idx="29">
                  <c:v>656.20734000000004</c:v>
                </c:pt>
                <c:pt idx="30">
                  <c:v>652.94719999999995</c:v>
                </c:pt>
                <c:pt idx="31">
                  <c:v>649.9973</c:v>
                </c:pt>
                <c:pt idx="32">
                  <c:v>647.67039999999997</c:v>
                </c:pt>
                <c:pt idx="33">
                  <c:v>645.65295000000003</c:v>
                </c:pt>
                <c:pt idx="34">
                  <c:v>643.94745</c:v>
                </c:pt>
                <c:pt idx="35">
                  <c:v>642.24170000000004</c:v>
                </c:pt>
                <c:pt idx="36">
                  <c:v>641.15826000000004</c:v>
                </c:pt>
                <c:pt idx="37">
                  <c:v>638.83745999999996</c:v>
                </c:pt>
                <c:pt idx="38">
                  <c:v>637.59973000000002</c:v>
                </c:pt>
                <c:pt idx="39">
                  <c:v>635.58765000000005</c:v>
                </c:pt>
                <c:pt idx="40">
                  <c:v>634.81757000000005</c:v>
                </c:pt>
                <c:pt idx="41">
                  <c:v>633.89670000000001</c:v>
                </c:pt>
                <c:pt idx="42">
                  <c:v>632.21010000000001</c:v>
                </c:pt>
              </c:numCache>
            </c:numRef>
          </c:xVal>
          <c:yVal>
            <c:numRef>
              <c:f>'Holtz et al 2001 Curves'!$C$4:$C$46</c:f>
              <c:numCache>
                <c:formatCode>General</c:formatCode>
                <c:ptCount val="43"/>
                <c:pt idx="0">
                  <c:v>1.0254623999999999</c:v>
                </c:pt>
                <c:pt idx="1">
                  <c:v>1.8871047999999999</c:v>
                </c:pt>
                <c:pt idx="2">
                  <c:v>4.4585900000000001</c:v>
                </c:pt>
                <c:pt idx="3">
                  <c:v>6.1795115999999997</c:v>
                </c:pt>
                <c:pt idx="4">
                  <c:v>9.1879480000000004</c:v>
                </c:pt>
                <c:pt idx="5">
                  <c:v>11.340208000000001</c:v>
                </c:pt>
                <c:pt idx="6">
                  <c:v>13.913022000000002</c:v>
                </c:pt>
                <c:pt idx="7">
                  <c:v>15.202605999999999</c:v>
                </c:pt>
                <c:pt idx="8">
                  <c:v>18.630267</c:v>
                </c:pt>
                <c:pt idx="9">
                  <c:v>22.487200000000001</c:v>
                </c:pt>
                <c:pt idx="10">
                  <c:v>30.621026999999998</c:v>
                </c:pt>
                <c:pt idx="11">
                  <c:v>36.184260000000002</c:v>
                </c:pt>
                <c:pt idx="12">
                  <c:v>43.028946000000005</c:v>
                </c:pt>
                <c:pt idx="13">
                  <c:v>51.584216000000005</c:v>
                </c:pt>
                <c:pt idx="14">
                  <c:v>61.423157000000003</c:v>
                </c:pt>
                <c:pt idx="15">
                  <c:v>69.97784</c:v>
                </c:pt>
                <c:pt idx="16">
                  <c:v>78.531190000000009</c:v>
                </c:pt>
                <c:pt idx="17">
                  <c:v>90.077905000000001</c:v>
                </c:pt>
                <c:pt idx="18">
                  <c:v>100.127014</c:v>
                </c:pt>
                <c:pt idx="19">
                  <c:v>112.95393999999999</c:v>
                </c:pt>
                <c:pt idx="20">
                  <c:v>126.7414</c:v>
                </c:pt>
                <c:pt idx="21">
                  <c:v>139.56655000000001</c:v>
                </c:pt>
                <c:pt idx="22">
                  <c:v>155.59647999999999</c:v>
                </c:pt>
                <c:pt idx="23">
                  <c:v>176.11448999999999</c:v>
                </c:pt>
                <c:pt idx="24">
                  <c:v>195.99025</c:v>
                </c:pt>
                <c:pt idx="25">
                  <c:v>218.42988</c:v>
                </c:pt>
                <c:pt idx="26">
                  <c:v>244.07507000000001</c:v>
                </c:pt>
                <c:pt idx="27">
                  <c:v>268.75763999999998</c:v>
                </c:pt>
                <c:pt idx="28">
                  <c:v>294.72192000000001</c:v>
                </c:pt>
                <c:pt idx="29">
                  <c:v>325.17323999999996</c:v>
                </c:pt>
                <c:pt idx="30">
                  <c:v>363.31655000000001</c:v>
                </c:pt>
                <c:pt idx="31">
                  <c:v>396.01091000000002</c:v>
                </c:pt>
                <c:pt idx="32">
                  <c:v>433.83306000000005</c:v>
                </c:pt>
                <c:pt idx="33">
                  <c:v>461.39853999999997</c:v>
                </c:pt>
                <c:pt idx="34">
                  <c:v>494.41255000000001</c:v>
                </c:pt>
                <c:pt idx="35">
                  <c:v>525.82397000000003</c:v>
                </c:pt>
                <c:pt idx="36">
                  <c:v>558.19650000000001</c:v>
                </c:pt>
                <c:pt idx="37">
                  <c:v>632.23649999999998</c:v>
                </c:pt>
                <c:pt idx="38">
                  <c:v>671.66045000000008</c:v>
                </c:pt>
                <c:pt idx="39">
                  <c:v>731.59770000000003</c:v>
                </c:pt>
                <c:pt idx="40">
                  <c:v>777.11104</c:v>
                </c:pt>
                <c:pt idx="41">
                  <c:v>851.47050000000002</c:v>
                </c:pt>
                <c:pt idx="42">
                  <c:v>996.98439999999994</c:v>
                </c:pt>
              </c:numCache>
            </c:numRef>
          </c:yVal>
          <c:smooth val="0"/>
          <c:extLst>
            <c:ext xmlns:c16="http://schemas.microsoft.com/office/drawing/2014/chart" uri="{C3380CC4-5D6E-409C-BE32-E72D297353CC}">
              <c16:uniqueId val="{00000000-1DCA-4131-B7B1-25C8077E4400}"/>
            </c:ext>
          </c:extLst>
        </c:ser>
        <c:ser>
          <c:idx val="1"/>
          <c:order val="1"/>
          <c:tx>
            <c:v>Anhydrous</c:v>
          </c:tx>
          <c:spPr>
            <a:ln w="19050" cap="rnd">
              <a:solidFill>
                <a:schemeClr val="tx1"/>
              </a:solidFill>
              <a:round/>
            </a:ln>
            <a:effectLst/>
          </c:spPr>
          <c:marker>
            <c:symbol val="none"/>
          </c:marker>
          <c:xVal>
            <c:numRef>
              <c:f>'Holtz et al 2001 Curves'!$D$4:$D$10</c:f>
              <c:numCache>
                <c:formatCode>General</c:formatCode>
                <c:ptCount val="7"/>
                <c:pt idx="0">
                  <c:v>959.78234999999995</c:v>
                </c:pt>
                <c:pt idx="1">
                  <c:v>975.19415000000004</c:v>
                </c:pt>
                <c:pt idx="2">
                  <c:v>994.80989999999997</c:v>
                </c:pt>
                <c:pt idx="3">
                  <c:v>1020.96405</c:v>
                </c:pt>
                <c:pt idx="4">
                  <c:v>1059.8839</c:v>
                </c:pt>
                <c:pt idx="5">
                  <c:v>1084.7920999999999</c:v>
                </c:pt>
                <c:pt idx="6">
                  <c:v>1119.0415</c:v>
                </c:pt>
              </c:numCache>
            </c:numRef>
          </c:xVal>
          <c:yVal>
            <c:numRef>
              <c:f>'Holtz et al 2001 Curves'!$F$4:$F$10</c:f>
              <c:numCache>
                <c:formatCode>General</c:formatCode>
                <c:ptCount val="7"/>
                <c:pt idx="0">
                  <c:v>0.59844489999999995</c:v>
                </c:pt>
                <c:pt idx="1">
                  <c:v>75.587379999999996</c:v>
                </c:pt>
                <c:pt idx="2">
                  <c:v>175.25277</c:v>
                </c:pt>
                <c:pt idx="3">
                  <c:v>306.96474999999998</c:v>
                </c:pt>
                <c:pt idx="4">
                  <c:v>503.41112999999996</c:v>
                </c:pt>
                <c:pt idx="5">
                  <c:v>625.82915000000003</c:v>
                </c:pt>
                <c:pt idx="6">
                  <c:v>797.91989999999998</c:v>
                </c:pt>
              </c:numCache>
            </c:numRef>
          </c:yVal>
          <c:smooth val="0"/>
          <c:extLst>
            <c:ext xmlns:c16="http://schemas.microsoft.com/office/drawing/2014/chart" uri="{C3380CC4-5D6E-409C-BE32-E72D297353CC}">
              <c16:uniqueId val="{00000001-1DCA-4131-B7B1-25C8077E4400}"/>
            </c:ext>
          </c:extLst>
        </c:ser>
        <c:ser>
          <c:idx val="2"/>
          <c:order val="2"/>
          <c:tx>
            <c:v>1% H2O</c:v>
          </c:tx>
          <c:spPr>
            <a:ln w="19050" cap="rnd">
              <a:solidFill>
                <a:schemeClr val="tx1"/>
              </a:solidFill>
              <a:round/>
            </a:ln>
            <a:effectLst/>
          </c:spPr>
          <c:marker>
            <c:symbol val="none"/>
          </c:marker>
          <c:xVal>
            <c:numRef>
              <c:f>'Holtz et al 2001 Curves'!$G$4:$G$15</c:f>
              <c:numCache>
                <c:formatCode>General</c:formatCode>
                <c:ptCount val="12"/>
                <c:pt idx="0">
                  <c:v>875.16639999999995</c:v>
                </c:pt>
                <c:pt idx="1">
                  <c:v>885.74980000000005</c:v>
                </c:pt>
                <c:pt idx="2">
                  <c:v>897.11194</c:v>
                </c:pt>
                <c:pt idx="3">
                  <c:v>910.80884000000003</c:v>
                </c:pt>
                <c:pt idx="4">
                  <c:v>921.70434999999998</c:v>
                </c:pt>
                <c:pt idx="5">
                  <c:v>936.18115</c:v>
                </c:pt>
                <c:pt idx="6">
                  <c:v>949.10144000000003</c:v>
                </c:pt>
                <c:pt idx="7">
                  <c:v>969.64984000000004</c:v>
                </c:pt>
                <c:pt idx="8">
                  <c:v>985.52855999999997</c:v>
                </c:pt>
                <c:pt idx="9">
                  <c:v>1008.7243999999999</c:v>
                </c:pt>
                <c:pt idx="10">
                  <c:v>1031.2977000000001</c:v>
                </c:pt>
                <c:pt idx="11">
                  <c:v>1049.0453</c:v>
                </c:pt>
              </c:numCache>
            </c:numRef>
          </c:xVal>
          <c:yVal>
            <c:numRef>
              <c:f>'Holtz et al 2001 Curves'!$I$4:$I$15</c:f>
              <c:numCache>
                <c:formatCode>General</c:formatCode>
                <c:ptCount val="12"/>
                <c:pt idx="0">
                  <c:v>13.158698000000001</c:v>
                </c:pt>
                <c:pt idx="1">
                  <c:v>50.010090000000005</c:v>
                </c:pt>
                <c:pt idx="2">
                  <c:v>92.309640000000002</c:v>
                </c:pt>
                <c:pt idx="3">
                  <c:v>144.22290000000001</c:v>
                </c:pt>
                <c:pt idx="4">
                  <c:v>186.84329</c:v>
                </c:pt>
                <c:pt idx="5">
                  <c:v>251.57649999999998</c:v>
                </c:pt>
                <c:pt idx="6">
                  <c:v>310.22107</c:v>
                </c:pt>
                <c:pt idx="7">
                  <c:v>406.03964999999999</c:v>
                </c:pt>
                <c:pt idx="8">
                  <c:v>482.31029999999998</c:v>
                </c:pt>
                <c:pt idx="9">
                  <c:v>597.03719999999998</c:v>
                </c:pt>
                <c:pt idx="10">
                  <c:v>709.8415</c:v>
                </c:pt>
                <c:pt idx="11">
                  <c:v>799.25186000000008</c:v>
                </c:pt>
              </c:numCache>
            </c:numRef>
          </c:yVal>
          <c:smooth val="0"/>
          <c:extLst>
            <c:ext xmlns:c16="http://schemas.microsoft.com/office/drawing/2014/chart" uri="{C3380CC4-5D6E-409C-BE32-E72D297353CC}">
              <c16:uniqueId val="{00000002-1DCA-4131-B7B1-25C8077E4400}"/>
            </c:ext>
          </c:extLst>
        </c:ser>
        <c:ser>
          <c:idx val="3"/>
          <c:order val="3"/>
          <c:tx>
            <c:strRef>
              <c:f>'Holtz et al 2001 Curves'!$J$2:$K$2</c:f>
              <c:strCache>
                <c:ptCount val="1"/>
                <c:pt idx="0">
                  <c:v>2% H2O</c:v>
                </c:pt>
              </c:strCache>
            </c:strRef>
          </c:tx>
          <c:spPr>
            <a:ln w="19050" cap="rnd">
              <a:solidFill>
                <a:schemeClr val="tx1"/>
              </a:solidFill>
              <a:round/>
            </a:ln>
            <a:effectLst/>
          </c:spPr>
          <c:marker>
            <c:symbol val="none"/>
          </c:marker>
          <c:xVal>
            <c:numRef>
              <c:f>'Holtz et al 2001 Curves'!$J$4:$J$15</c:f>
              <c:numCache>
                <c:formatCode>General</c:formatCode>
                <c:ptCount val="12"/>
                <c:pt idx="0">
                  <c:v>805.48424999999997</c:v>
                </c:pt>
                <c:pt idx="1">
                  <c:v>824.93939999999998</c:v>
                </c:pt>
                <c:pt idx="2">
                  <c:v>834.43380000000002</c:v>
                </c:pt>
                <c:pt idx="3">
                  <c:v>844.08410000000003</c:v>
                </c:pt>
                <c:pt idx="4">
                  <c:v>853.11220000000003</c:v>
                </c:pt>
                <c:pt idx="5">
                  <c:v>863.38599999999997</c:v>
                </c:pt>
                <c:pt idx="6">
                  <c:v>880.66565000000003</c:v>
                </c:pt>
                <c:pt idx="7">
                  <c:v>904.01575000000003</c:v>
                </c:pt>
                <c:pt idx="8">
                  <c:v>928.14520000000005</c:v>
                </c:pt>
                <c:pt idx="9">
                  <c:v>952.58569999999997</c:v>
                </c:pt>
                <c:pt idx="10">
                  <c:v>968.46469999999999</c:v>
                </c:pt>
                <c:pt idx="11">
                  <c:v>977.02655000000004</c:v>
                </c:pt>
              </c:numCache>
            </c:numRef>
          </c:xVal>
          <c:yVal>
            <c:numRef>
              <c:f>'Holtz et al 2001 Curves'!$L$4:$L$15</c:f>
              <c:numCache>
                <c:formatCode>General</c:formatCode>
                <c:ptCount val="12"/>
                <c:pt idx="0">
                  <c:v>32.759585999999999</c:v>
                </c:pt>
                <c:pt idx="1">
                  <c:v>102.29693</c:v>
                </c:pt>
                <c:pt idx="2">
                  <c:v>137.86704</c:v>
                </c:pt>
                <c:pt idx="3">
                  <c:v>175.68063999999998</c:v>
                </c:pt>
                <c:pt idx="4">
                  <c:v>213.49468000000002</c:v>
                </c:pt>
                <c:pt idx="5">
                  <c:v>259.00012000000004</c:v>
                </c:pt>
                <c:pt idx="6">
                  <c:v>341.35952000000003</c:v>
                </c:pt>
                <c:pt idx="7">
                  <c:v>448.39404000000002</c:v>
                </c:pt>
                <c:pt idx="8">
                  <c:v>564.72284999999999</c:v>
                </c:pt>
                <c:pt idx="9">
                  <c:v>680.73095999999998</c:v>
                </c:pt>
                <c:pt idx="10">
                  <c:v>759.24516999999992</c:v>
                </c:pt>
                <c:pt idx="11">
                  <c:v>798.98260000000005</c:v>
                </c:pt>
              </c:numCache>
            </c:numRef>
          </c:yVal>
          <c:smooth val="0"/>
          <c:extLst>
            <c:ext xmlns:c16="http://schemas.microsoft.com/office/drawing/2014/chart" uri="{C3380CC4-5D6E-409C-BE32-E72D297353CC}">
              <c16:uniqueId val="{00000003-1DCA-4131-B7B1-25C8077E4400}"/>
            </c:ext>
          </c:extLst>
        </c:ser>
        <c:ser>
          <c:idx val="4"/>
          <c:order val="4"/>
          <c:tx>
            <c:strRef>
              <c:f>'Holtz et al 2001 Curves'!$M$2</c:f>
              <c:strCache>
                <c:ptCount val="1"/>
                <c:pt idx="0">
                  <c:v>3% H2O</c:v>
                </c:pt>
              </c:strCache>
            </c:strRef>
          </c:tx>
          <c:spPr>
            <a:ln w="19050" cap="rnd">
              <a:solidFill>
                <a:schemeClr val="tx1"/>
              </a:solidFill>
              <a:round/>
            </a:ln>
            <a:effectLst/>
          </c:spPr>
          <c:marker>
            <c:symbol val="none"/>
          </c:marker>
          <c:xVal>
            <c:numRef>
              <c:f>'Holtz et al 2001 Curves'!$M$4:$M$16</c:f>
              <c:numCache>
                <c:formatCode>General</c:formatCode>
                <c:ptCount val="13"/>
                <c:pt idx="0">
                  <c:v>760.38030000000003</c:v>
                </c:pt>
                <c:pt idx="1">
                  <c:v>775.01085999999998</c:v>
                </c:pt>
                <c:pt idx="2">
                  <c:v>781.85913000000005</c:v>
                </c:pt>
                <c:pt idx="3">
                  <c:v>790.88720000000001</c:v>
                </c:pt>
                <c:pt idx="4">
                  <c:v>800.53800000000001</c:v>
                </c:pt>
                <c:pt idx="5">
                  <c:v>810.65643</c:v>
                </c:pt>
                <c:pt idx="6">
                  <c:v>823.73230000000001</c:v>
                </c:pt>
                <c:pt idx="7">
                  <c:v>835.25170000000003</c:v>
                </c:pt>
                <c:pt idx="8">
                  <c:v>849.10649999999998</c:v>
                </c:pt>
                <c:pt idx="9">
                  <c:v>863.42849999999999</c:v>
                </c:pt>
                <c:pt idx="10">
                  <c:v>882.42163000000005</c:v>
                </c:pt>
                <c:pt idx="11">
                  <c:v>899.70299999999997</c:v>
                </c:pt>
                <c:pt idx="12">
                  <c:v>916.82950000000005</c:v>
                </c:pt>
              </c:numCache>
            </c:numRef>
          </c:xVal>
          <c:yVal>
            <c:numRef>
              <c:f>'Holtz et al 2001 Curves'!$O$4:$O$16</c:f>
              <c:numCache>
                <c:formatCode>General</c:formatCode>
                <c:ptCount val="13"/>
                <c:pt idx="0">
                  <c:v>62.278859999999995</c:v>
                </c:pt>
                <c:pt idx="1">
                  <c:v>116.43503000000001</c:v>
                </c:pt>
                <c:pt idx="2">
                  <c:v>141.10962000000001</c:v>
                </c:pt>
                <c:pt idx="3">
                  <c:v>178.60314</c:v>
                </c:pt>
                <c:pt idx="4">
                  <c:v>219.62184999999999</c:v>
                </c:pt>
                <c:pt idx="5">
                  <c:v>265.76842999999997</c:v>
                </c:pt>
                <c:pt idx="6">
                  <c:v>324.73341999999997</c:v>
                </c:pt>
                <c:pt idx="7">
                  <c:v>377.60976999999997</c:v>
                </c:pt>
                <c:pt idx="8">
                  <c:v>443.30492999999996</c:v>
                </c:pt>
                <c:pt idx="9">
                  <c:v>512.52544</c:v>
                </c:pt>
                <c:pt idx="10">
                  <c:v>609.62715000000003</c:v>
                </c:pt>
                <c:pt idx="11">
                  <c:v>702.24297000000001</c:v>
                </c:pt>
                <c:pt idx="12">
                  <c:v>799.02549999999997</c:v>
                </c:pt>
              </c:numCache>
            </c:numRef>
          </c:yVal>
          <c:smooth val="0"/>
          <c:extLst>
            <c:ext xmlns:c16="http://schemas.microsoft.com/office/drawing/2014/chart" uri="{C3380CC4-5D6E-409C-BE32-E72D297353CC}">
              <c16:uniqueId val="{00000004-1DCA-4131-B7B1-25C8077E4400}"/>
            </c:ext>
          </c:extLst>
        </c:ser>
        <c:ser>
          <c:idx val="5"/>
          <c:order val="5"/>
          <c:tx>
            <c:strRef>
              <c:f>'Holtz et al 2001 Curves'!$P$2</c:f>
              <c:strCache>
                <c:ptCount val="1"/>
                <c:pt idx="0">
                  <c:v>4% H2O</c:v>
                </c:pt>
              </c:strCache>
            </c:strRef>
          </c:tx>
          <c:spPr>
            <a:ln w="19050" cap="rnd">
              <a:solidFill>
                <a:schemeClr val="tx1"/>
              </a:solidFill>
              <a:round/>
            </a:ln>
            <a:effectLst/>
          </c:spPr>
          <c:marker>
            <c:symbol val="none"/>
          </c:marker>
          <c:xVal>
            <c:numRef>
              <c:f>'Holtz et al 2001 Curves'!$P$4:$P$16</c:f>
              <c:numCache>
                <c:formatCode>General</c:formatCode>
                <c:ptCount val="13"/>
                <c:pt idx="0">
                  <c:v>724.92096000000004</c:v>
                </c:pt>
                <c:pt idx="1">
                  <c:v>737.0607</c:v>
                </c:pt>
                <c:pt idx="2">
                  <c:v>745.62189999999998</c:v>
                </c:pt>
                <c:pt idx="3">
                  <c:v>757.91890000000001</c:v>
                </c:pt>
                <c:pt idx="4">
                  <c:v>773.01909999999998</c:v>
                </c:pt>
                <c:pt idx="5">
                  <c:v>786.5625</c:v>
                </c:pt>
                <c:pt idx="6">
                  <c:v>797.14873999999998</c:v>
                </c:pt>
                <c:pt idx="7">
                  <c:v>805.08812999999998</c:v>
                </c:pt>
                <c:pt idx="8">
                  <c:v>816.92039999999997</c:v>
                </c:pt>
                <c:pt idx="9">
                  <c:v>829.37660000000005</c:v>
                </c:pt>
                <c:pt idx="10">
                  <c:v>839.18669999999997</c:v>
                </c:pt>
                <c:pt idx="11">
                  <c:v>848.84173999999996</c:v>
                </c:pt>
                <c:pt idx="12">
                  <c:v>860.21014000000002</c:v>
                </c:pt>
              </c:numCache>
            </c:numRef>
          </c:xVal>
          <c:yVal>
            <c:numRef>
              <c:f>'Holtz et al 2001 Curves'!$R$4:$R$16</c:f>
              <c:numCache>
                <c:formatCode>General</c:formatCode>
                <c:ptCount val="13"/>
                <c:pt idx="0">
                  <c:v>95.316895000000002</c:v>
                </c:pt>
                <c:pt idx="1">
                  <c:v>137.29536999999999</c:v>
                </c:pt>
                <c:pt idx="2">
                  <c:v>173.18666999999999</c:v>
                </c:pt>
                <c:pt idx="3">
                  <c:v>225.42143999999999</c:v>
                </c:pt>
                <c:pt idx="4">
                  <c:v>297.20546999999999</c:v>
                </c:pt>
                <c:pt idx="5">
                  <c:v>361.29831999999999</c:v>
                </c:pt>
                <c:pt idx="6">
                  <c:v>414.81635999999997</c:v>
                </c:pt>
                <c:pt idx="7">
                  <c:v>453.27217000000002</c:v>
                </c:pt>
                <c:pt idx="8">
                  <c:v>516.72520000000009</c:v>
                </c:pt>
                <c:pt idx="9">
                  <c:v>590.43419999999992</c:v>
                </c:pt>
                <c:pt idx="10">
                  <c:v>653.56816000000003</c:v>
                </c:pt>
                <c:pt idx="11">
                  <c:v>719.26635999999996</c:v>
                </c:pt>
                <c:pt idx="12">
                  <c:v>799.38633000000004</c:v>
                </c:pt>
              </c:numCache>
            </c:numRef>
          </c:yVal>
          <c:smooth val="0"/>
          <c:extLst>
            <c:ext xmlns:c16="http://schemas.microsoft.com/office/drawing/2014/chart" uri="{C3380CC4-5D6E-409C-BE32-E72D297353CC}">
              <c16:uniqueId val="{00000005-1DCA-4131-B7B1-25C8077E4400}"/>
            </c:ext>
          </c:extLst>
        </c:ser>
        <c:ser>
          <c:idx val="6"/>
          <c:order val="6"/>
          <c:tx>
            <c:strRef>
              <c:f>'Holtz et al 2001 Curves'!$S$2</c:f>
              <c:strCache>
                <c:ptCount val="1"/>
                <c:pt idx="0">
                  <c:v>5% H2O</c:v>
                </c:pt>
              </c:strCache>
            </c:strRef>
          </c:tx>
          <c:spPr>
            <a:ln w="19050" cap="rnd">
              <a:solidFill>
                <a:schemeClr val="tx1"/>
              </a:solidFill>
              <a:round/>
            </a:ln>
            <a:effectLst/>
          </c:spPr>
          <c:marker>
            <c:symbol val="none"/>
          </c:marker>
          <c:xVal>
            <c:numRef>
              <c:f>'Holtz et al 2001 Curves'!$S$4:$S$18</c:f>
              <c:numCache>
                <c:formatCode>General</c:formatCode>
                <c:ptCount val="15"/>
                <c:pt idx="0">
                  <c:v>703.30560000000003</c:v>
                </c:pt>
                <c:pt idx="1">
                  <c:v>706.72979999999995</c:v>
                </c:pt>
                <c:pt idx="2">
                  <c:v>711.24426000000005</c:v>
                </c:pt>
                <c:pt idx="3">
                  <c:v>717.78340000000003</c:v>
                </c:pt>
                <c:pt idx="4">
                  <c:v>722.76526000000001</c:v>
                </c:pt>
                <c:pt idx="5">
                  <c:v>728.21469999999999</c:v>
                </c:pt>
                <c:pt idx="6">
                  <c:v>739.26880000000006</c:v>
                </c:pt>
                <c:pt idx="7">
                  <c:v>747.83230000000003</c:v>
                </c:pt>
                <c:pt idx="8">
                  <c:v>756.55139999999994</c:v>
                </c:pt>
                <c:pt idx="9">
                  <c:v>766.98364000000004</c:v>
                </c:pt>
                <c:pt idx="10">
                  <c:v>774.45807000000002</c:v>
                </c:pt>
                <c:pt idx="11">
                  <c:v>780.53229999999996</c:v>
                </c:pt>
                <c:pt idx="12">
                  <c:v>790.03186000000005</c:v>
                </c:pt>
                <c:pt idx="13">
                  <c:v>800.46789999999999</c:v>
                </c:pt>
                <c:pt idx="14">
                  <c:v>808.72393999999997</c:v>
                </c:pt>
              </c:numCache>
            </c:numRef>
          </c:xVal>
          <c:yVal>
            <c:numRef>
              <c:f>'Holtz et al 2001 Curves'!$U$4:$U$18</c:f>
              <c:numCache>
                <c:formatCode>General</c:formatCode>
                <c:ptCount val="15"/>
                <c:pt idx="0">
                  <c:v>129.94763</c:v>
                </c:pt>
                <c:pt idx="1">
                  <c:v>142.76569000000001</c:v>
                </c:pt>
                <c:pt idx="2">
                  <c:v>164.23679999999999</c:v>
                </c:pt>
                <c:pt idx="3">
                  <c:v>200.45005</c:v>
                </c:pt>
                <c:pt idx="4">
                  <c:v>226.40799999999999</c:v>
                </c:pt>
                <c:pt idx="5">
                  <c:v>258.13486</c:v>
                </c:pt>
                <c:pt idx="6">
                  <c:v>318.70383000000004</c:v>
                </c:pt>
                <c:pt idx="7">
                  <c:v>368.37716999999998</c:v>
                </c:pt>
                <c:pt idx="8">
                  <c:v>418.69139999999999</c:v>
                </c:pt>
                <c:pt idx="9">
                  <c:v>481.50439999999998</c:v>
                </c:pt>
                <c:pt idx="10">
                  <c:v>529.89650000000006</c:v>
                </c:pt>
                <c:pt idx="11">
                  <c:v>576.68696</c:v>
                </c:pt>
                <c:pt idx="12">
                  <c:v>643.34680000000003</c:v>
                </c:pt>
                <c:pt idx="13">
                  <c:v>728.59564999999998</c:v>
                </c:pt>
                <c:pt idx="14">
                  <c:v>800.06405999999993</c:v>
                </c:pt>
              </c:numCache>
            </c:numRef>
          </c:yVal>
          <c:smooth val="0"/>
          <c:extLst>
            <c:ext xmlns:c16="http://schemas.microsoft.com/office/drawing/2014/chart" uri="{C3380CC4-5D6E-409C-BE32-E72D297353CC}">
              <c16:uniqueId val="{00000006-1DCA-4131-B7B1-25C8077E4400}"/>
            </c:ext>
          </c:extLst>
        </c:ser>
        <c:ser>
          <c:idx val="7"/>
          <c:order val="7"/>
          <c:tx>
            <c:strRef>
              <c:f>'Holtz et al 2001 Curves'!$V$2</c:f>
              <c:strCache>
                <c:ptCount val="1"/>
                <c:pt idx="0">
                  <c:v>6% H2O</c:v>
                </c:pt>
              </c:strCache>
            </c:strRef>
          </c:tx>
          <c:spPr>
            <a:ln w="19050" cap="rnd">
              <a:solidFill>
                <a:schemeClr val="tx1"/>
              </a:solidFill>
              <a:round/>
            </a:ln>
            <a:effectLst/>
          </c:spPr>
          <c:marker>
            <c:symbol val="none"/>
          </c:marker>
          <c:xVal>
            <c:numRef>
              <c:f>'Holtz et al 2001 Curves'!$V$4:$V$13</c:f>
              <c:numCache>
                <c:formatCode>General</c:formatCode>
                <c:ptCount val="10"/>
                <c:pt idx="0">
                  <c:v>683.71496999999999</c:v>
                </c:pt>
                <c:pt idx="1">
                  <c:v>687.76319999999998</c:v>
                </c:pt>
                <c:pt idx="2">
                  <c:v>694.45839999999998</c:v>
                </c:pt>
                <c:pt idx="3">
                  <c:v>702.55529999999999</c:v>
                </c:pt>
                <c:pt idx="4">
                  <c:v>713.45592999999997</c:v>
                </c:pt>
                <c:pt idx="5">
                  <c:v>722.95574999999997</c:v>
                </c:pt>
                <c:pt idx="6">
                  <c:v>730.74390000000005</c:v>
                </c:pt>
                <c:pt idx="7">
                  <c:v>739.62396000000001</c:v>
                </c:pt>
                <c:pt idx="8">
                  <c:v>749.43970000000002</c:v>
                </c:pt>
                <c:pt idx="9">
                  <c:v>760.81500000000005</c:v>
                </c:pt>
              </c:numCache>
            </c:numRef>
          </c:xVal>
          <c:yVal>
            <c:numRef>
              <c:f>'Holtz et al 2001 Curves'!$X$4:$X$13</c:f>
              <c:numCache>
                <c:formatCode>General</c:formatCode>
                <c:ptCount val="10"/>
                <c:pt idx="0">
                  <c:v>179.96152000000001</c:v>
                </c:pt>
                <c:pt idx="1">
                  <c:v>203.67655999999999</c:v>
                </c:pt>
                <c:pt idx="2">
                  <c:v>243.41532999999998</c:v>
                </c:pt>
                <c:pt idx="3">
                  <c:v>293.73003</c:v>
                </c:pt>
                <c:pt idx="4">
                  <c:v>366.79910000000001</c:v>
                </c:pt>
                <c:pt idx="5">
                  <c:v>434.74097</c:v>
                </c:pt>
                <c:pt idx="6">
                  <c:v>498.83789999999999</c:v>
                </c:pt>
                <c:pt idx="7">
                  <c:v>581.20326999999997</c:v>
                </c:pt>
                <c:pt idx="8">
                  <c:v>677.99099999999999</c:v>
                </c:pt>
                <c:pt idx="9">
                  <c:v>799.13660000000004</c:v>
                </c:pt>
              </c:numCache>
            </c:numRef>
          </c:yVal>
          <c:smooth val="0"/>
          <c:extLst>
            <c:ext xmlns:c16="http://schemas.microsoft.com/office/drawing/2014/chart" uri="{C3380CC4-5D6E-409C-BE32-E72D297353CC}">
              <c16:uniqueId val="{00000007-1DCA-4131-B7B1-25C8077E4400}"/>
            </c:ext>
          </c:extLst>
        </c:ser>
        <c:ser>
          <c:idx val="14"/>
          <c:order val="8"/>
          <c:tx>
            <c:strRef>
              <c:f>'Holtz et al 2001 Curves'!$Y$2</c:f>
              <c:strCache>
                <c:ptCount val="1"/>
                <c:pt idx="0">
                  <c:v>7% H2O</c:v>
                </c:pt>
              </c:strCache>
            </c:strRef>
          </c:tx>
          <c:spPr>
            <a:ln w="19050" cap="rnd">
              <a:solidFill>
                <a:schemeClr val="tx1"/>
              </a:solidFill>
              <a:round/>
            </a:ln>
            <a:effectLst/>
          </c:spPr>
          <c:marker>
            <c:symbol val="none"/>
          </c:marker>
          <c:xVal>
            <c:numRef>
              <c:f>'Holtz et al 2001 Curves'!$Y$4:$Y$13</c:f>
              <c:numCache>
                <c:formatCode>General</c:formatCode>
                <c:ptCount val="10"/>
                <c:pt idx="0">
                  <c:v>669.25900000000001</c:v>
                </c:pt>
                <c:pt idx="1">
                  <c:v>674.24419999999998</c:v>
                </c:pt>
                <c:pt idx="2">
                  <c:v>679.22990000000004</c:v>
                </c:pt>
                <c:pt idx="3">
                  <c:v>684.68273999999997</c:v>
                </c:pt>
                <c:pt idx="4">
                  <c:v>690.91520000000003</c:v>
                </c:pt>
                <c:pt idx="5">
                  <c:v>694.81100000000004</c:v>
                </c:pt>
                <c:pt idx="6">
                  <c:v>701.82590000000005</c:v>
                </c:pt>
                <c:pt idx="7">
                  <c:v>706.65935999999999</c:v>
                </c:pt>
                <c:pt idx="8">
                  <c:v>712.27279999999996</c:v>
                </c:pt>
                <c:pt idx="9">
                  <c:v>716.95050000000003</c:v>
                </c:pt>
              </c:numCache>
            </c:numRef>
          </c:xVal>
          <c:yVal>
            <c:numRef>
              <c:f>'Holtz et al 2001 Curves'!$AA$4:$AA$13</c:f>
              <c:numCache>
                <c:formatCode>General</c:formatCode>
                <c:ptCount val="10"/>
                <c:pt idx="0">
                  <c:v>239.26662999999999</c:v>
                </c:pt>
                <c:pt idx="1">
                  <c:v>285.41687000000002</c:v>
                </c:pt>
                <c:pt idx="2">
                  <c:v>334.13119999999998</c:v>
                </c:pt>
                <c:pt idx="3">
                  <c:v>385.72979999999995</c:v>
                </c:pt>
                <c:pt idx="4">
                  <c:v>448.54579999999999</c:v>
                </c:pt>
                <c:pt idx="5">
                  <c:v>490.85069999999996</c:v>
                </c:pt>
                <c:pt idx="6">
                  <c:v>581.87120000000004</c:v>
                </c:pt>
                <c:pt idx="7">
                  <c:v>650.13689999999997</c:v>
                </c:pt>
                <c:pt idx="8">
                  <c:v>732.18410000000006</c:v>
                </c:pt>
                <c:pt idx="9">
                  <c:v>799.16786999999999</c:v>
                </c:pt>
              </c:numCache>
            </c:numRef>
          </c:yVal>
          <c:smooth val="0"/>
          <c:extLst>
            <c:ext xmlns:c16="http://schemas.microsoft.com/office/drawing/2014/chart" uri="{C3380CC4-5D6E-409C-BE32-E72D297353CC}">
              <c16:uniqueId val="{00000010-1DCA-4131-B7B1-25C8077E4400}"/>
            </c:ext>
          </c:extLst>
        </c:ser>
        <c:ser>
          <c:idx val="8"/>
          <c:order val="9"/>
          <c:tx>
            <c:strRef>
              <c:f>'Holtz et al 2001 Curves'!$AB$2</c:f>
              <c:strCache>
                <c:ptCount val="1"/>
                <c:pt idx="0">
                  <c:v>8% H2O</c:v>
                </c:pt>
              </c:strCache>
            </c:strRef>
          </c:tx>
          <c:spPr>
            <a:ln w="19050" cap="rnd">
              <a:solidFill>
                <a:schemeClr val="tx1"/>
              </a:solidFill>
              <a:round/>
            </a:ln>
            <a:effectLst/>
          </c:spPr>
          <c:marker>
            <c:symbol val="none"/>
          </c:marker>
          <c:xVal>
            <c:numRef>
              <c:f>'Holtz et al 2001 Curves'!$AB$4:$AB$12</c:f>
              <c:numCache>
                <c:formatCode>General</c:formatCode>
                <c:ptCount val="9"/>
                <c:pt idx="0">
                  <c:v>656.51819999999998</c:v>
                </c:pt>
                <c:pt idx="1">
                  <c:v>661.03740000000005</c:v>
                </c:pt>
                <c:pt idx="2">
                  <c:v>666.33579999999995</c:v>
                </c:pt>
                <c:pt idx="3">
                  <c:v>669.60910000000001</c:v>
                </c:pt>
                <c:pt idx="4">
                  <c:v>671.63653999999997</c:v>
                </c:pt>
                <c:pt idx="5">
                  <c:v>676.78539999999998</c:v>
                </c:pt>
                <c:pt idx="6">
                  <c:v>679.75120000000004</c:v>
                </c:pt>
                <c:pt idx="7">
                  <c:v>683.96519999999998</c:v>
                </c:pt>
                <c:pt idx="8">
                  <c:v>686.61869999999999</c:v>
                </c:pt>
              </c:numCache>
            </c:numRef>
          </c:xVal>
          <c:yVal>
            <c:numRef>
              <c:f>'Holtz et al 2001 Curves'!$AD$4:$AD$12</c:f>
              <c:numCache>
                <c:formatCode>General</c:formatCode>
                <c:ptCount val="9"/>
                <c:pt idx="0">
                  <c:v>323.57046000000003</c:v>
                </c:pt>
                <c:pt idx="1">
                  <c:v>373.56718999999998</c:v>
                </c:pt>
                <c:pt idx="2">
                  <c:v>431.57616999999999</c:v>
                </c:pt>
                <c:pt idx="3">
                  <c:v>471.95839999999998</c:v>
                </c:pt>
                <c:pt idx="4">
                  <c:v>503.68770000000006</c:v>
                </c:pt>
                <c:pt idx="5">
                  <c:v>597.91464999999994</c:v>
                </c:pt>
                <c:pt idx="6">
                  <c:v>659.77143999999998</c:v>
                </c:pt>
                <c:pt idx="7">
                  <c:v>744.70425</c:v>
                </c:pt>
                <c:pt idx="8">
                  <c:v>799.18945000000008</c:v>
                </c:pt>
              </c:numCache>
            </c:numRef>
          </c:yVal>
          <c:smooth val="0"/>
          <c:extLst>
            <c:ext xmlns:c16="http://schemas.microsoft.com/office/drawing/2014/chart" uri="{C3380CC4-5D6E-409C-BE32-E72D297353CC}">
              <c16:uniqueId val="{00000008-1DCA-4131-B7B1-25C8077E4400}"/>
            </c:ext>
          </c:extLst>
        </c:ser>
        <c:ser>
          <c:idx val="9"/>
          <c:order val="10"/>
          <c:tx>
            <c:strRef>
              <c:f>'Holtz et al 2001 Curves'!$AE$2</c:f>
              <c:strCache>
                <c:ptCount val="1"/>
                <c:pt idx="0">
                  <c:v>9% H2O</c:v>
                </c:pt>
              </c:strCache>
            </c:strRef>
          </c:tx>
          <c:spPr>
            <a:ln w="19050" cap="rnd">
              <a:solidFill>
                <a:schemeClr val="tx1"/>
              </a:solidFill>
              <a:round/>
            </a:ln>
            <a:effectLst/>
          </c:spPr>
          <c:marker>
            <c:symbol val="none"/>
          </c:marker>
          <c:xVal>
            <c:numRef>
              <c:f>'Holtz et al 2001 Curves'!$AE$4:$AE$10</c:f>
              <c:numCache>
                <c:formatCode>General</c:formatCode>
                <c:ptCount val="7"/>
                <c:pt idx="0">
                  <c:v>648.91010000000006</c:v>
                </c:pt>
                <c:pt idx="1">
                  <c:v>651.40660000000003</c:v>
                </c:pt>
                <c:pt idx="2">
                  <c:v>654.21720000000005</c:v>
                </c:pt>
                <c:pt idx="3">
                  <c:v>656.24980000000005</c:v>
                </c:pt>
                <c:pt idx="4">
                  <c:v>659.53049999999996</c:v>
                </c:pt>
                <c:pt idx="5">
                  <c:v>662.81177000000002</c:v>
                </c:pt>
                <c:pt idx="6">
                  <c:v>664.68619999999999</c:v>
                </c:pt>
              </c:numCache>
            </c:numRef>
          </c:xVal>
          <c:yVal>
            <c:numRef>
              <c:f>'Holtz et al 2001 Curves'!$AG$4:$AG$10</c:f>
              <c:numCache>
                <c:formatCode>General</c:formatCode>
                <c:ptCount val="7"/>
                <c:pt idx="0">
                  <c:v>405.62707999999998</c:v>
                </c:pt>
                <c:pt idx="1">
                  <c:v>452.09960000000001</c:v>
                </c:pt>
                <c:pt idx="2">
                  <c:v>516.20010000000002</c:v>
                </c:pt>
                <c:pt idx="3">
                  <c:v>578.37803000000008</c:v>
                </c:pt>
                <c:pt idx="4">
                  <c:v>662.99097000000006</c:v>
                </c:pt>
                <c:pt idx="5">
                  <c:v>751.12959999999998</c:v>
                </c:pt>
                <c:pt idx="6">
                  <c:v>797.92304999999999</c:v>
                </c:pt>
              </c:numCache>
            </c:numRef>
          </c:yVal>
          <c:smooth val="0"/>
          <c:extLst>
            <c:ext xmlns:c16="http://schemas.microsoft.com/office/drawing/2014/chart" uri="{C3380CC4-5D6E-409C-BE32-E72D297353CC}">
              <c16:uniqueId val="{0000000A-1DCA-4131-B7B1-25C8077E4400}"/>
            </c:ext>
          </c:extLst>
        </c:ser>
        <c:ser>
          <c:idx val="10"/>
          <c:order val="11"/>
          <c:tx>
            <c:strRef>
              <c:f>'Holtz et al 2001 Curves'!$AH$2</c:f>
              <c:strCache>
                <c:ptCount val="1"/>
                <c:pt idx="0">
                  <c:v>10% H2O</c:v>
                </c:pt>
              </c:strCache>
            </c:strRef>
          </c:tx>
          <c:spPr>
            <a:ln w="19050" cap="rnd">
              <a:solidFill>
                <a:schemeClr val="tx1"/>
              </a:solidFill>
              <a:round/>
            </a:ln>
            <a:effectLst/>
          </c:spPr>
          <c:marker>
            <c:symbol val="none"/>
          </c:marker>
          <c:xVal>
            <c:numRef>
              <c:f>'Holtz et al 2001 Curves'!$AH$4:$AH$7</c:f>
              <c:numCache>
                <c:formatCode>General</c:formatCode>
                <c:ptCount val="4"/>
                <c:pt idx="0">
                  <c:v>642.20000000000005</c:v>
                </c:pt>
                <c:pt idx="1">
                  <c:v>643.85504000000003</c:v>
                </c:pt>
                <c:pt idx="2">
                  <c:v>646.28375000000005</c:v>
                </c:pt>
                <c:pt idx="3">
                  <c:v>649.30799999999999</c:v>
                </c:pt>
              </c:numCache>
            </c:numRef>
          </c:xVal>
          <c:yVal>
            <c:numRef>
              <c:f>'Holtz et al 2001 Curves'!$AJ$4:$AJ$7</c:f>
              <c:numCache>
                <c:formatCode>General</c:formatCode>
                <c:ptCount val="4"/>
                <c:pt idx="0">
                  <c:v>527</c:v>
                </c:pt>
                <c:pt idx="1">
                  <c:v>578.36170000000004</c:v>
                </c:pt>
                <c:pt idx="2">
                  <c:v>669.22979999999995</c:v>
                </c:pt>
                <c:pt idx="3">
                  <c:v>800.23260000000005</c:v>
                </c:pt>
              </c:numCache>
            </c:numRef>
          </c:yVal>
          <c:smooth val="0"/>
          <c:extLst>
            <c:ext xmlns:c16="http://schemas.microsoft.com/office/drawing/2014/chart" uri="{C3380CC4-5D6E-409C-BE32-E72D297353CC}">
              <c16:uniqueId val="{0000000B-1DCA-4131-B7B1-25C8077E4400}"/>
            </c:ext>
          </c:extLst>
        </c:ser>
        <c:ser>
          <c:idx val="11"/>
          <c:order val="12"/>
          <c:tx>
            <c:strRef>
              <c:f>'Holtz et al 2001 Curves'!$AK$2</c:f>
              <c:strCache>
                <c:ptCount val="1"/>
                <c:pt idx="0">
                  <c:v>11% H2O</c:v>
                </c:pt>
              </c:strCache>
            </c:strRef>
          </c:tx>
          <c:spPr>
            <a:ln w="19050" cap="rnd">
              <a:solidFill>
                <a:schemeClr val="tx1"/>
              </a:solidFill>
              <a:round/>
            </a:ln>
            <a:effectLst/>
          </c:spPr>
          <c:marker>
            <c:symbol val="none"/>
          </c:marker>
          <c:xVal>
            <c:numRef>
              <c:f>'Holtz et al 2001 Curves'!$AK$4:$AK$7</c:f>
              <c:numCache>
                <c:formatCode>General</c:formatCode>
                <c:ptCount val="4"/>
                <c:pt idx="0">
                  <c:v>639.1</c:v>
                </c:pt>
                <c:pt idx="1">
                  <c:v>640</c:v>
                </c:pt>
                <c:pt idx="2">
                  <c:v>641</c:v>
                </c:pt>
                <c:pt idx="3">
                  <c:v>642</c:v>
                </c:pt>
              </c:numCache>
            </c:numRef>
          </c:xVal>
          <c:yVal>
            <c:numRef>
              <c:f>'Holtz et al 2001 Curves'!$AM$4:$AM$7</c:f>
              <c:numCache>
                <c:formatCode>General</c:formatCode>
                <c:ptCount val="4"/>
                <c:pt idx="0">
                  <c:v>624.57974000000002</c:v>
                </c:pt>
                <c:pt idx="1">
                  <c:v>675.31090000000006</c:v>
                </c:pt>
                <c:pt idx="2">
                  <c:v>742.41587000000004</c:v>
                </c:pt>
                <c:pt idx="3">
                  <c:v>799.88890000000004</c:v>
                </c:pt>
              </c:numCache>
            </c:numRef>
          </c:yVal>
          <c:smooth val="0"/>
          <c:extLst>
            <c:ext xmlns:c16="http://schemas.microsoft.com/office/drawing/2014/chart" uri="{C3380CC4-5D6E-409C-BE32-E72D297353CC}">
              <c16:uniqueId val="{0000000D-1DCA-4131-B7B1-25C8077E4400}"/>
            </c:ext>
          </c:extLst>
        </c:ser>
        <c:ser>
          <c:idx val="12"/>
          <c:order val="13"/>
          <c:tx>
            <c:strRef>
              <c:f>'Holtz et al 2001 Curves'!$AM$2</c:f>
              <c:strCache>
                <c:ptCount val="1"/>
              </c:strCache>
            </c:strRef>
          </c:tx>
          <c:spPr>
            <a:ln w="25400" cap="rnd">
              <a:solidFill>
                <a:schemeClr val="tx1"/>
              </a:solidFill>
              <a:round/>
            </a:ln>
            <a:effectLst/>
          </c:spPr>
          <c:marker>
            <c:symbol val="none"/>
          </c:marker>
          <c:xVal>
            <c:numRef>
              <c:f>'Holtz et al 2001 Curves'!$AM$4:$AM$6</c:f>
              <c:numCache>
                <c:formatCode>General</c:formatCode>
                <c:ptCount val="3"/>
                <c:pt idx="0">
                  <c:v>624.57974000000002</c:v>
                </c:pt>
                <c:pt idx="1">
                  <c:v>675.31090000000006</c:v>
                </c:pt>
                <c:pt idx="2">
                  <c:v>742.41587000000004</c:v>
                </c:pt>
              </c:numCache>
            </c:numRef>
          </c:xVal>
          <c:yVal>
            <c:numRef>
              <c:f>'Holtz et al 2001 Curves'!$AN$4:$AN$6</c:f>
              <c:numCache>
                <c:formatCode>General</c:formatCode>
                <c:ptCount val="3"/>
              </c:numCache>
            </c:numRef>
          </c:yVal>
          <c:smooth val="0"/>
          <c:extLst>
            <c:ext xmlns:c16="http://schemas.microsoft.com/office/drawing/2014/chart" uri="{C3380CC4-5D6E-409C-BE32-E72D297353CC}">
              <c16:uniqueId val="{0000000E-1DCA-4131-B7B1-25C8077E4400}"/>
            </c:ext>
          </c:extLst>
        </c:ser>
        <c:ser>
          <c:idx val="13"/>
          <c:order val="14"/>
          <c:tx>
            <c:strRef>
              <c:f>'Holtz et al 2001 Curves'!$AO$2</c:f>
              <c:strCache>
                <c:ptCount val="1"/>
              </c:strCache>
            </c:strRef>
          </c:tx>
          <c:spPr>
            <a:ln w="25400" cap="rnd">
              <a:solidFill>
                <a:schemeClr val="tx1"/>
              </a:solidFill>
              <a:round/>
            </a:ln>
            <a:effectLst/>
          </c:spPr>
          <c:marker>
            <c:symbol val="none"/>
          </c:marker>
          <c:xVal>
            <c:numRef>
              <c:f>'Holtz et al 2001 Curves'!$AO$4:$AO$6</c:f>
              <c:numCache>
                <c:formatCode>General</c:formatCode>
                <c:ptCount val="3"/>
              </c:numCache>
            </c:numRef>
          </c:xVal>
          <c:yVal>
            <c:numRef>
              <c:f>'Holtz et al 2001 Curves'!$AP$4:$AP$6</c:f>
              <c:numCache>
                <c:formatCode>General</c:formatCode>
                <c:ptCount val="3"/>
              </c:numCache>
            </c:numRef>
          </c:yVal>
          <c:smooth val="0"/>
          <c:extLst>
            <c:ext xmlns:c16="http://schemas.microsoft.com/office/drawing/2014/chart" uri="{C3380CC4-5D6E-409C-BE32-E72D297353CC}">
              <c16:uniqueId val="{0000000F-1DCA-4131-B7B1-25C8077E4400}"/>
            </c:ext>
          </c:extLst>
        </c:ser>
        <c:dLbls>
          <c:showLegendKey val="0"/>
          <c:showVal val="0"/>
          <c:showCatName val="0"/>
          <c:showSerName val="0"/>
          <c:showPercent val="0"/>
          <c:showBubbleSize val="0"/>
        </c:dLbls>
        <c:axId val="634769544"/>
        <c:axId val="634768560"/>
      </c:scatterChart>
      <c:valAx>
        <c:axId val="634769544"/>
        <c:scaling>
          <c:orientation val="minMax"/>
          <c:min val="6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Temperature</a:t>
                </a:r>
                <a:r>
                  <a:rPr lang="en-CA" baseline="0"/>
                  <a:t> (</a:t>
                </a:r>
                <a:r>
                  <a:rPr lang="en-CA" i="1" baseline="0"/>
                  <a:t>C</a:t>
                </a:r>
                <a:r>
                  <a:rPr lang="en-CA" i="0" baseline="0"/>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768560"/>
        <c:crosses val="autoZero"/>
        <c:crossBetween val="midCat"/>
      </c:valAx>
      <c:valAx>
        <c:axId val="634768560"/>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Pressure (MPa)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7695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38100</xdr:colOff>
      <xdr:row>46</xdr:row>
      <xdr:rowOff>121920</xdr:rowOff>
    </xdr:to>
    <xdr:sp macro="" textlink="">
      <xdr:nvSpPr>
        <xdr:cNvPr id="2" name="TextBox 1">
          <a:extLst>
            <a:ext uri="{FF2B5EF4-FFF2-40B4-BE49-F238E27FC236}">
              <a16:creationId xmlns:a16="http://schemas.microsoft.com/office/drawing/2014/main" id="{61C95202-E9C8-40FD-9586-0A19878429B3}"/>
            </a:ext>
          </a:extLst>
        </xdr:cNvPr>
        <xdr:cNvSpPr txBox="1"/>
      </xdr:nvSpPr>
      <xdr:spPr>
        <a:xfrm>
          <a:off x="0" y="0"/>
          <a:ext cx="6134100" cy="853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Modelling changes in internal pressure during the solidification of hydrous granitic intrusives: Implications for the crystallization of miarolitic pegmatites</a:t>
          </a:r>
        </a:p>
        <a:p>
          <a:endParaRPr lang="en-CA" sz="1100"/>
        </a:p>
        <a:p>
          <a:r>
            <a:rPr lang="en-CA" sz="1100"/>
            <a:t>Contributions to Mineralogy and Petrology</a:t>
          </a:r>
        </a:p>
        <a:p>
          <a:endParaRPr lang="en-CA" sz="1100"/>
        </a:p>
        <a:p>
          <a:r>
            <a:rPr lang="en-CA" sz="1100"/>
            <a:t>Issac</a:t>
          </a:r>
          <a:r>
            <a:rPr lang="en-CA" sz="1100" baseline="0"/>
            <a:t> J. Jacques and Alan J. Anderson</a:t>
          </a:r>
          <a:endParaRPr lang="en-CA" sz="1100"/>
        </a:p>
        <a:p>
          <a:endParaRPr lang="en-CA" sz="1100"/>
        </a:p>
        <a:p>
          <a:r>
            <a:rPr lang="en-CA" sz="1100"/>
            <a:t>Department of Earth Sciences, St. Francis Xavier University, NS, Canada. 5009 Chapel Square, Antigonish, Nova Scotia, Canada B2G 2W5</a:t>
          </a:r>
        </a:p>
        <a:p>
          <a:endParaRPr lang="en-CA" sz="1100"/>
        </a:p>
        <a:p>
          <a:r>
            <a:rPr lang="en-CA" sz="1100"/>
            <a:t>Corresponding author email: ij96.jacques@gmail.com</a:t>
          </a:r>
        </a:p>
        <a:p>
          <a:endParaRPr lang="en-CA" sz="1100"/>
        </a:p>
        <a:p>
          <a:r>
            <a:rPr lang="en-CA" sz="1100"/>
            <a:t>=====================================================================================</a:t>
          </a:r>
        </a:p>
        <a:p>
          <a:endParaRPr lang="en-CA" sz="1100"/>
        </a:p>
        <a:p>
          <a:r>
            <a:rPr lang="en-CA" sz="1600"/>
            <a:t>About</a:t>
          </a:r>
        </a:p>
        <a:p>
          <a:r>
            <a:rPr lang="en-CA" sz="1100"/>
            <a:t>This spreadsheet</a:t>
          </a:r>
          <a:r>
            <a:rPr lang="en-CA" sz="1100" baseline="0"/>
            <a:t> contains the model to accompany the paper, "Modelling changes in internal pressure during the solidification of hydrous granitic intrusives: Implications for the crystallization of miarolitic pegmatites." The model uses mass and volume relations to calculate the pressure of the haplogranitic system.</a:t>
          </a:r>
        </a:p>
        <a:p>
          <a:endParaRPr lang="en-CA" sz="1100" baseline="0"/>
        </a:p>
        <a:p>
          <a:r>
            <a:rPr lang="en-CA" sz="1100" baseline="0"/>
            <a:t>Sheets:</a:t>
          </a:r>
        </a:p>
        <a:p>
          <a:r>
            <a:rPr lang="en-CA" sz="1100" b="1" baseline="0"/>
            <a:t>Overview</a:t>
          </a:r>
          <a:r>
            <a:rPr lang="en-CA" sz="1100" baseline="0"/>
            <a:t> - Use this sheet for running the model. It displays all the calculated information from the other sheets.</a:t>
          </a:r>
        </a:p>
        <a:p>
          <a:r>
            <a:rPr lang="en-CA" sz="1100" b="1" baseline="0"/>
            <a:t>Melt</a:t>
          </a:r>
          <a:r>
            <a:rPr lang="en-CA" sz="1100" baseline="0"/>
            <a:t> </a:t>
          </a:r>
          <a:r>
            <a:rPr lang="en-CA" sz="1100" b="1" baseline="0"/>
            <a:t>Properties</a:t>
          </a:r>
          <a:r>
            <a:rPr lang="en-CA" sz="1100" baseline="0"/>
            <a:t> - Calculates parameters involving the melt phase.</a:t>
          </a:r>
        </a:p>
        <a:p>
          <a:r>
            <a:rPr lang="en-CA" sz="1100" b="1" baseline="0"/>
            <a:t>Crystal</a:t>
          </a:r>
          <a:r>
            <a:rPr lang="en-CA" sz="1100" baseline="0"/>
            <a:t> </a:t>
          </a:r>
          <a:r>
            <a:rPr lang="en-CA" sz="1100" b="1" baseline="0"/>
            <a:t>Properties</a:t>
          </a:r>
          <a:r>
            <a:rPr lang="en-CA" sz="1100" baseline="0"/>
            <a:t> - </a:t>
          </a:r>
          <a:r>
            <a:rPr lang="en-CA" sz="1100" baseline="0">
              <a:solidFill>
                <a:schemeClr val="dk1"/>
              </a:solidFill>
              <a:effectLst/>
              <a:latin typeface="+mn-lt"/>
              <a:ea typeface="+mn-ea"/>
              <a:cs typeface="+mn-cs"/>
            </a:rPr>
            <a:t>Calculates parameters involving the crystal phases.</a:t>
          </a:r>
        </a:p>
        <a:p>
          <a:r>
            <a:rPr lang="en-CA" sz="1100" b="1" baseline="0">
              <a:solidFill>
                <a:schemeClr val="dk1"/>
              </a:solidFill>
              <a:effectLst/>
              <a:latin typeface="+mn-lt"/>
              <a:ea typeface="+mn-ea"/>
              <a:cs typeface="+mn-cs"/>
            </a:rPr>
            <a:t>Vapour</a:t>
          </a:r>
          <a:r>
            <a:rPr lang="en-CA" sz="1100" baseline="0">
              <a:solidFill>
                <a:schemeClr val="dk1"/>
              </a:solidFill>
              <a:effectLst/>
              <a:latin typeface="+mn-lt"/>
              <a:ea typeface="+mn-ea"/>
              <a:cs typeface="+mn-cs"/>
            </a:rPr>
            <a:t> </a:t>
          </a:r>
          <a:r>
            <a:rPr lang="en-CA" sz="1100" b="1" baseline="0">
              <a:solidFill>
                <a:schemeClr val="dk1"/>
              </a:solidFill>
              <a:effectLst/>
              <a:latin typeface="+mn-lt"/>
              <a:ea typeface="+mn-ea"/>
              <a:cs typeface="+mn-cs"/>
            </a:rPr>
            <a:t>Properties</a:t>
          </a:r>
          <a:r>
            <a:rPr lang="en-CA" sz="1100" baseline="0">
              <a:solidFill>
                <a:schemeClr val="dk1"/>
              </a:solidFill>
              <a:effectLst/>
              <a:latin typeface="+mn-lt"/>
              <a:ea typeface="+mn-ea"/>
              <a:cs typeface="+mn-cs"/>
            </a:rPr>
            <a:t> - Calculates parameters involving the volatile H2O phase.</a:t>
          </a:r>
        </a:p>
        <a:p>
          <a:r>
            <a:rPr lang="en-CA" sz="1100" b="1" baseline="0">
              <a:solidFill>
                <a:schemeClr val="dk1"/>
              </a:solidFill>
              <a:effectLst/>
              <a:latin typeface="+mn-lt"/>
              <a:ea typeface="+mn-ea"/>
              <a:cs typeface="+mn-cs"/>
            </a:rPr>
            <a:t>Holtz et al. 2001 Curves </a:t>
          </a:r>
          <a:r>
            <a:rPr lang="en-CA" sz="1100" baseline="0">
              <a:solidFill>
                <a:schemeClr val="dk1"/>
              </a:solidFill>
              <a:effectLst/>
              <a:latin typeface="+mn-lt"/>
              <a:ea typeface="+mn-ea"/>
              <a:cs typeface="+mn-cs"/>
            </a:rPr>
            <a:t>- A space to store the data used to reproduce the graphs of Holtz et al. 2001.</a:t>
          </a:r>
        </a:p>
        <a:p>
          <a:r>
            <a:rPr lang="en-CA" sz="1100" b="1" baseline="0">
              <a:solidFill>
                <a:schemeClr val="dk1"/>
              </a:solidFill>
              <a:effectLst/>
              <a:latin typeface="+mn-lt"/>
              <a:ea typeface="+mn-ea"/>
              <a:cs typeface="+mn-cs"/>
            </a:rPr>
            <a:t>References</a:t>
          </a:r>
          <a:r>
            <a:rPr lang="en-CA" sz="1100" baseline="0">
              <a:solidFill>
                <a:schemeClr val="dk1"/>
              </a:solidFill>
              <a:effectLst/>
              <a:latin typeface="+mn-lt"/>
              <a:ea typeface="+mn-ea"/>
              <a:cs typeface="+mn-cs"/>
            </a:rPr>
            <a:t> - References are listed here.</a:t>
          </a:r>
          <a:endParaRPr lang="en-CA" sz="1100" baseline="0"/>
        </a:p>
        <a:p>
          <a:endParaRPr lang="en-CA" sz="1100" baseline="0"/>
        </a:p>
        <a:p>
          <a:r>
            <a:rPr lang="en-CA" sz="1600" baseline="0"/>
            <a:t>Running the Model</a:t>
          </a:r>
        </a:p>
        <a:p>
          <a:r>
            <a:rPr lang="en-CA" sz="1100" baseline="0"/>
            <a:t>To use the model, input the Initial Parameters in the overview sheet. Note that the initial volume is not calculated but needs to be manually inputted from the System Volume section directly below.</a:t>
          </a:r>
        </a:p>
        <a:p>
          <a:endParaRPr lang="en-CA" sz="1100" baseline="0"/>
        </a:p>
        <a:p>
          <a:r>
            <a:rPr lang="en-CA" sz="1100" baseline="0"/>
            <a:t>To run the model, you will change the values under Dynamic Properties.</a:t>
          </a:r>
        </a:p>
        <a:p>
          <a:endParaRPr lang="en-CA" sz="1100" baseline="0"/>
        </a:p>
        <a:p>
          <a:r>
            <a:rPr lang="en-CA" sz="1100" baseline="0"/>
            <a:t>1) change "Melt Fraction" which represents the amount of melt in the system. A value of 1 represents a fully liquid system and 0 represents a completely crystalline one.</a:t>
          </a:r>
        </a:p>
        <a:p>
          <a:r>
            <a:rPr lang="en-CA" sz="1100" baseline="0"/>
            <a:t>2) adjust the pressure so that the initial and current volume of the system are equal. (Note, use Excel's SOLVER to reduce V(i) - V(0) to 0.</a:t>
          </a:r>
        </a:p>
        <a:p>
          <a:r>
            <a:rPr lang="en-CA" sz="1100" baseline="0"/>
            <a:t>3) examine the melt curve from Holtz et al (2001). Adjust the temperature such that the modelled system corresponds with the correct liquidus or solidus curve in P-T space.</a:t>
          </a:r>
        </a:p>
        <a:p>
          <a:r>
            <a:rPr lang="en-CA" sz="1100" baseline="0"/>
            <a:t>4) iteratively adjust pressure and temperature until a point is found which satisfies step 3 where the system has a constant volume.</a:t>
          </a:r>
        </a:p>
        <a:p>
          <a:r>
            <a:rPr lang="en-CA" sz="1100" baseline="0"/>
            <a:t>5) Record the results and go back to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xdr:colOff>
      <xdr:row>0</xdr:row>
      <xdr:rowOff>0</xdr:rowOff>
    </xdr:from>
    <xdr:to>
      <xdr:col>22</xdr:col>
      <xdr:colOff>68580</xdr:colOff>
      <xdr:row>22</xdr:row>
      <xdr:rowOff>96595</xdr:rowOff>
    </xdr:to>
    <xdr:graphicFrame macro="">
      <xdr:nvGraphicFramePr>
        <xdr:cNvPr id="2" name="Chart 1">
          <a:extLst>
            <a:ext uri="{FF2B5EF4-FFF2-40B4-BE49-F238E27FC236}">
              <a16:creationId xmlns:a16="http://schemas.microsoft.com/office/drawing/2014/main" id="{856AC887-8209-4EA5-9543-88624132B4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7620</xdr:colOff>
      <xdr:row>4</xdr:row>
      <xdr:rowOff>137160</xdr:rowOff>
    </xdr:from>
    <xdr:to>
      <xdr:col>21</xdr:col>
      <xdr:colOff>350520</xdr:colOff>
      <xdr:row>6</xdr:row>
      <xdr:rowOff>83820</xdr:rowOff>
    </xdr:to>
    <xdr:sp macro="" textlink="">
      <xdr:nvSpPr>
        <xdr:cNvPr id="3" name="TextBox 2">
          <a:extLst>
            <a:ext uri="{FF2B5EF4-FFF2-40B4-BE49-F238E27FC236}">
              <a16:creationId xmlns:a16="http://schemas.microsoft.com/office/drawing/2014/main" id="{F8BE5B95-9AEC-459F-A2E5-A359CC711C78}"/>
            </a:ext>
          </a:extLst>
        </xdr:cNvPr>
        <xdr:cNvSpPr txBox="1"/>
      </xdr:nvSpPr>
      <xdr:spPr>
        <a:xfrm>
          <a:off x="14173200" y="868680"/>
          <a:ext cx="9525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Anhydrous</a:t>
          </a:r>
        </a:p>
      </xdr:txBody>
    </xdr:sp>
    <xdr:clientData/>
  </xdr:twoCellAnchor>
  <xdr:twoCellAnchor>
    <xdr:from>
      <xdr:col>18</xdr:col>
      <xdr:colOff>358140</xdr:colOff>
      <xdr:row>4</xdr:row>
      <xdr:rowOff>121920</xdr:rowOff>
    </xdr:from>
    <xdr:to>
      <xdr:col>20</xdr:col>
      <xdr:colOff>91440</xdr:colOff>
      <xdr:row>6</xdr:row>
      <xdr:rowOff>68580</xdr:rowOff>
    </xdr:to>
    <xdr:sp macro="" textlink="">
      <xdr:nvSpPr>
        <xdr:cNvPr id="4" name="TextBox 3">
          <a:extLst>
            <a:ext uri="{FF2B5EF4-FFF2-40B4-BE49-F238E27FC236}">
              <a16:creationId xmlns:a16="http://schemas.microsoft.com/office/drawing/2014/main" id="{19B52E12-D3DC-4E54-8ACD-E46648DC1D1E}"/>
            </a:ext>
          </a:extLst>
        </xdr:cNvPr>
        <xdr:cNvSpPr txBox="1"/>
      </xdr:nvSpPr>
      <xdr:spPr>
        <a:xfrm>
          <a:off x="13304520" y="853440"/>
          <a:ext cx="9525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1 Wt.% H2O</a:t>
          </a:r>
        </a:p>
      </xdr:txBody>
    </xdr:sp>
    <xdr:clientData/>
  </xdr:twoCellAnchor>
  <xdr:twoCellAnchor>
    <xdr:from>
      <xdr:col>17</xdr:col>
      <xdr:colOff>152400</xdr:colOff>
      <xdr:row>4</xdr:row>
      <xdr:rowOff>129540</xdr:rowOff>
    </xdr:from>
    <xdr:to>
      <xdr:col>18</xdr:col>
      <xdr:colOff>495300</xdr:colOff>
      <xdr:row>6</xdr:row>
      <xdr:rowOff>76200</xdr:rowOff>
    </xdr:to>
    <xdr:sp macro="" textlink="">
      <xdr:nvSpPr>
        <xdr:cNvPr id="5" name="TextBox 4">
          <a:extLst>
            <a:ext uri="{FF2B5EF4-FFF2-40B4-BE49-F238E27FC236}">
              <a16:creationId xmlns:a16="http://schemas.microsoft.com/office/drawing/2014/main" id="{A16699B4-59FF-431A-BD28-77DBBB298F7C}"/>
            </a:ext>
          </a:extLst>
        </xdr:cNvPr>
        <xdr:cNvSpPr txBox="1"/>
      </xdr:nvSpPr>
      <xdr:spPr>
        <a:xfrm>
          <a:off x="12489180" y="861060"/>
          <a:ext cx="9525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2 </a:t>
          </a:r>
          <a:r>
            <a:rPr lang="en-CA" sz="1100">
              <a:solidFill>
                <a:schemeClr val="dk1"/>
              </a:solidFill>
              <a:effectLst/>
              <a:latin typeface="+mn-lt"/>
              <a:ea typeface="+mn-ea"/>
              <a:cs typeface="+mn-cs"/>
            </a:rPr>
            <a:t>Wt.% H2O</a:t>
          </a:r>
          <a:endParaRPr lang="en-CA" sz="1100"/>
        </a:p>
      </xdr:txBody>
    </xdr:sp>
    <xdr:clientData/>
  </xdr:twoCellAnchor>
  <xdr:twoCellAnchor>
    <xdr:from>
      <xdr:col>15</xdr:col>
      <xdr:colOff>586740</xdr:colOff>
      <xdr:row>4</xdr:row>
      <xdr:rowOff>137160</xdr:rowOff>
    </xdr:from>
    <xdr:to>
      <xdr:col>17</xdr:col>
      <xdr:colOff>320040</xdr:colOff>
      <xdr:row>6</xdr:row>
      <xdr:rowOff>83820</xdr:rowOff>
    </xdr:to>
    <xdr:sp macro="" textlink="">
      <xdr:nvSpPr>
        <xdr:cNvPr id="6" name="TextBox 5">
          <a:extLst>
            <a:ext uri="{FF2B5EF4-FFF2-40B4-BE49-F238E27FC236}">
              <a16:creationId xmlns:a16="http://schemas.microsoft.com/office/drawing/2014/main" id="{91F18AD1-281C-4B90-9D70-F08C1659F9D1}"/>
            </a:ext>
          </a:extLst>
        </xdr:cNvPr>
        <xdr:cNvSpPr txBox="1"/>
      </xdr:nvSpPr>
      <xdr:spPr>
        <a:xfrm>
          <a:off x="11704320" y="868680"/>
          <a:ext cx="9525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3 </a:t>
          </a:r>
          <a:r>
            <a:rPr lang="en-CA" sz="1100">
              <a:solidFill>
                <a:schemeClr val="dk1"/>
              </a:solidFill>
              <a:effectLst/>
              <a:latin typeface="+mn-lt"/>
              <a:ea typeface="+mn-ea"/>
              <a:cs typeface="+mn-cs"/>
            </a:rPr>
            <a:t>Wt.% H2O</a:t>
          </a:r>
          <a:endParaRPr lang="en-CA" sz="1100"/>
        </a:p>
      </xdr:txBody>
    </xdr:sp>
    <xdr:clientData/>
  </xdr:twoCellAnchor>
  <xdr:twoCellAnchor>
    <xdr:from>
      <xdr:col>15</xdr:col>
      <xdr:colOff>22859</xdr:colOff>
      <xdr:row>3</xdr:row>
      <xdr:rowOff>30480</xdr:rowOff>
    </xdr:from>
    <xdr:to>
      <xdr:col>16</xdr:col>
      <xdr:colOff>365759</xdr:colOff>
      <xdr:row>4</xdr:row>
      <xdr:rowOff>160020</xdr:rowOff>
    </xdr:to>
    <xdr:sp macro="" textlink="">
      <xdr:nvSpPr>
        <xdr:cNvPr id="7" name="TextBox 6">
          <a:extLst>
            <a:ext uri="{FF2B5EF4-FFF2-40B4-BE49-F238E27FC236}">
              <a16:creationId xmlns:a16="http://schemas.microsoft.com/office/drawing/2014/main" id="{7BEAB2A5-F9D7-459D-8C20-BF32E6991B1D}"/>
            </a:ext>
          </a:extLst>
        </xdr:cNvPr>
        <xdr:cNvSpPr txBox="1"/>
      </xdr:nvSpPr>
      <xdr:spPr>
        <a:xfrm rot="19261747">
          <a:off x="11140439" y="579120"/>
          <a:ext cx="9525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4 </a:t>
          </a:r>
          <a:r>
            <a:rPr lang="en-CA" sz="1100">
              <a:solidFill>
                <a:schemeClr val="dk1"/>
              </a:solidFill>
              <a:effectLst/>
              <a:latin typeface="+mn-lt"/>
              <a:ea typeface="+mn-ea"/>
              <a:cs typeface="+mn-cs"/>
            </a:rPr>
            <a:t>Wt.% H2O</a:t>
          </a:r>
          <a:endParaRPr lang="en-CA" sz="1100"/>
        </a:p>
      </xdr:txBody>
    </xdr:sp>
    <xdr:clientData/>
  </xdr:twoCellAnchor>
  <xdr:twoCellAnchor>
    <xdr:from>
      <xdr:col>13</xdr:col>
      <xdr:colOff>594361</xdr:colOff>
      <xdr:row>3</xdr:row>
      <xdr:rowOff>30480</xdr:rowOff>
    </xdr:from>
    <xdr:to>
      <xdr:col>15</xdr:col>
      <xdr:colOff>327661</xdr:colOff>
      <xdr:row>4</xdr:row>
      <xdr:rowOff>160020</xdr:rowOff>
    </xdr:to>
    <xdr:sp macro="" textlink="">
      <xdr:nvSpPr>
        <xdr:cNvPr id="8" name="TextBox 7">
          <a:extLst>
            <a:ext uri="{FF2B5EF4-FFF2-40B4-BE49-F238E27FC236}">
              <a16:creationId xmlns:a16="http://schemas.microsoft.com/office/drawing/2014/main" id="{6553EF9E-6C7B-45B0-B80B-F5E50F9FCF2F}"/>
            </a:ext>
          </a:extLst>
        </xdr:cNvPr>
        <xdr:cNvSpPr txBox="1"/>
      </xdr:nvSpPr>
      <xdr:spPr>
        <a:xfrm rot="19417748">
          <a:off x="10492741" y="579120"/>
          <a:ext cx="9525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5</a:t>
          </a:r>
          <a:r>
            <a:rPr lang="en-CA" sz="1100" baseline="0"/>
            <a:t> </a:t>
          </a:r>
          <a:r>
            <a:rPr lang="en-CA" sz="1100">
              <a:solidFill>
                <a:schemeClr val="dk1"/>
              </a:solidFill>
              <a:effectLst/>
              <a:latin typeface="+mn-lt"/>
              <a:ea typeface="+mn-ea"/>
              <a:cs typeface="+mn-cs"/>
            </a:rPr>
            <a:t>Wt.% H2O</a:t>
          </a:r>
          <a:endParaRPr lang="en-CA" sz="1100"/>
        </a:p>
      </xdr:txBody>
    </xdr:sp>
    <xdr:clientData/>
  </xdr:twoCellAnchor>
  <xdr:twoCellAnchor>
    <xdr:from>
      <xdr:col>13</xdr:col>
      <xdr:colOff>22860</xdr:colOff>
      <xdr:row>2</xdr:row>
      <xdr:rowOff>129540</xdr:rowOff>
    </xdr:from>
    <xdr:to>
      <xdr:col>14</xdr:col>
      <xdr:colOff>365760</xdr:colOff>
      <xdr:row>4</xdr:row>
      <xdr:rowOff>76200</xdr:rowOff>
    </xdr:to>
    <xdr:sp macro="" textlink="">
      <xdr:nvSpPr>
        <xdr:cNvPr id="10" name="TextBox 9">
          <a:extLst>
            <a:ext uri="{FF2B5EF4-FFF2-40B4-BE49-F238E27FC236}">
              <a16:creationId xmlns:a16="http://schemas.microsoft.com/office/drawing/2014/main" id="{2E17A5D6-C29C-4E46-8E11-393FAE4E8AC1}"/>
            </a:ext>
          </a:extLst>
        </xdr:cNvPr>
        <xdr:cNvSpPr txBox="1"/>
      </xdr:nvSpPr>
      <xdr:spPr>
        <a:xfrm rot="19069469">
          <a:off x="9921240" y="495300"/>
          <a:ext cx="9525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6 </a:t>
          </a:r>
          <a:r>
            <a:rPr lang="en-CA" sz="1100">
              <a:solidFill>
                <a:schemeClr val="dk1"/>
              </a:solidFill>
              <a:effectLst/>
              <a:latin typeface="+mn-lt"/>
              <a:ea typeface="+mn-ea"/>
              <a:cs typeface="+mn-cs"/>
            </a:rPr>
            <a:t>Wt.% H2O</a:t>
          </a:r>
          <a:endParaRPr lang="en-CA" sz="1100"/>
        </a:p>
      </xdr:txBody>
    </xdr:sp>
    <xdr:clientData/>
  </xdr:twoCellAnchor>
  <xdr:twoCellAnchor>
    <xdr:from>
      <xdr:col>12</xdr:col>
      <xdr:colOff>91441</xdr:colOff>
      <xdr:row>3</xdr:row>
      <xdr:rowOff>7618</xdr:rowOff>
    </xdr:from>
    <xdr:to>
      <xdr:col>13</xdr:col>
      <xdr:colOff>434341</xdr:colOff>
      <xdr:row>4</xdr:row>
      <xdr:rowOff>137158</xdr:rowOff>
    </xdr:to>
    <xdr:sp macro="" textlink="">
      <xdr:nvSpPr>
        <xdr:cNvPr id="11" name="TextBox 10">
          <a:extLst>
            <a:ext uri="{FF2B5EF4-FFF2-40B4-BE49-F238E27FC236}">
              <a16:creationId xmlns:a16="http://schemas.microsoft.com/office/drawing/2014/main" id="{BAC5D7F0-CC94-4706-A646-BBF6D2274CDE}"/>
            </a:ext>
          </a:extLst>
        </xdr:cNvPr>
        <xdr:cNvSpPr txBox="1"/>
      </xdr:nvSpPr>
      <xdr:spPr>
        <a:xfrm rot="19131417">
          <a:off x="9380221" y="556258"/>
          <a:ext cx="9525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7 </a:t>
          </a:r>
          <a:r>
            <a:rPr lang="en-CA" sz="1100">
              <a:solidFill>
                <a:schemeClr val="dk1"/>
              </a:solidFill>
              <a:effectLst/>
              <a:latin typeface="+mn-lt"/>
              <a:ea typeface="+mn-ea"/>
              <a:cs typeface="+mn-cs"/>
            </a:rPr>
            <a:t>Wt.% H2O</a:t>
          </a:r>
          <a:endParaRPr lang="en-CA" sz="1100"/>
        </a:p>
      </xdr:txBody>
    </xdr:sp>
    <xdr:clientData/>
  </xdr:twoCellAnchor>
  <xdr:twoCellAnchor>
    <xdr:from>
      <xdr:col>11</xdr:col>
      <xdr:colOff>342899</xdr:colOff>
      <xdr:row>3</xdr:row>
      <xdr:rowOff>7617</xdr:rowOff>
    </xdr:from>
    <xdr:to>
      <xdr:col>13</xdr:col>
      <xdr:colOff>76199</xdr:colOff>
      <xdr:row>4</xdr:row>
      <xdr:rowOff>137157</xdr:rowOff>
    </xdr:to>
    <xdr:sp macro="" textlink="">
      <xdr:nvSpPr>
        <xdr:cNvPr id="12" name="TextBox 11">
          <a:extLst>
            <a:ext uri="{FF2B5EF4-FFF2-40B4-BE49-F238E27FC236}">
              <a16:creationId xmlns:a16="http://schemas.microsoft.com/office/drawing/2014/main" id="{83453DE2-CE9F-4ABB-86B8-1DAC287BC2D6}"/>
            </a:ext>
          </a:extLst>
        </xdr:cNvPr>
        <xdr:cNvSpPr txBox="1"/>
      </xdr:nvSpPr>
      <xdr:spPr>
        <a:xfrm rot="19035740">
          <a:off x="9022079" y="556257"/>
          <a:ext cx="9525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8 </a:t>
          </a:r>
          <a:r>
            <a:rPr lang="en-CA" sz="1100">
              <a:solidFill>
                <a:schemeClr val="dk1"/>
              </a:solidFill>
              <a:effectLst/>
              <a:latin typeface="+mn-lt"/>
              <a:ea typeface="+mn-ea"/>
              <a:cs typeface="+mn-cs"/>
            </a:rPr>
            <a:t>Wt.% H2O</a:t>
          </a:r>
          <a:endParaRPr lang="en-CA" sz="1100"/>
        </a:p>
      </xdr:txBody>
    </xdr:sp>
    <xdr:clientData/>
  </xdr:twoCellAnchor>
  <xdr:twoCellAnchor>
    <xdr:from>
      <xdr:col>10</xdr:col>
      <xdr:colOff>603370</xdr:colOff>
      <xdr:row>3</xdr:row>
      <xdr:rowOff>45191</xdr:rowOff>
    </xdr:from>
    <xdr:to>
      <xdr:col>12</xdr:col>
      <xdr:colOff>336670</xdr:colOff>
      <xdr:row>4</xdr:row>
      <xdr:rowOff>178922</xdr:rowOff>
    </xdr:to>
    <xdr:sp macro="" textlink="">
      <xdr:nvSpPr>
        <xdr:cNvPr id="13" name="TextBox 12">
          <a:extLst>
            <a:ext uri="{FF2B5EF4-FFF2-40B4-BE49-F238E27FC236}">
              <a16:creationId xmlns:a16="http://schemas.microsoft.com/office/drawing/2014/main" id="{FB17D745-6150-48EB-9F6E-CFB42042BC1C}"/>
            </a:ext>
          </a:extLst>
        </xdr:cNvPr>
        <xdr:cNvSpPr txBox="1"/>
      </xdr:nvSpPr>
      <xdr:spPr>
        <a:xfrm rot="19104082">
          <a:off x="8672950" y="593831"/>
          <a:ext cx="952500" cy="316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9 </a:t>
          </a:r>
          <a:r>
            <a:rPr lang="en-CA" sz="1100">
              <a:solidFill>
                <a:schemeClr val="dk1"/>
              </a:solidFill>
              <a:effectLst/>
              <a:latin typeface="+mn-lt"/>
              <a:ea typeface="+mn-ea"/>
              <a:cs typeface="+mn-cs"/>
            </a:rPr>
            <a:t>Wt.% H2O</a:t>
          </a:r>
          <a:endParaRPr lang="en-CA" sz="1100"/>
        </a:p>
      </xdr:txBody>
    </xdr:sp>
    <xdr:clientData/>
  </xdr:twoCellAnchor>
  <xdr:twoCellAnchor>
    <xdr:from>
      <xdr:col>0</xdr:col>
      <xdr:colOff>0</xdr:colOff>
      <xdr:row>0</xdr:row>
      <xdr:rowOff>0</xdr:rowOff>
    </xdr:from>
    <xdr:to>
      <xdr:col>2</xdr:col>
      <xdr:colOff>594360</xdr:colOff>
      <xdr:row>25</xdr:row>
      <xdr:rowOff>121920</xdr:rowOff>
    </xdr:to>
    <xdr:sp macro="" textlink="">
      <xdr:nvSpPr>
        <xdr:cNvPr id="20" name="TextBox 19">
          <a:extLst>
            <a:ext uri="{FF2B5EF4-FFF2-40B4-BE49-F238E27FC236}">
              <a16:creationId xmlns:a16="http://schemas.microsoft.com/office/drawing/2014/main" id="{0233087F-FCD6-4F6D-98F7-A1C9F8100343}"/>
            </a:ext>
          </a:extLst>
        </xdr:cNvPr>
        <xdr:cNvSpPr txBox="1"/>
      </xdr:nvSpPr>
      <xdr:spPr>
        <a:xfrm>
          <a:off x="0" y="0"/>
          <a:ext cx="2651760" cy="4693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Be sure to record the initial volume of the system at starting conditions.</a:t>
          </a:r>
        </a:p>
        <a:p>
          <a:endParaRPr lang="en-CA" sz="1100"/>
        </a:p>
        <a:p>
          <a:r>
            <a:rPr lang="en-CA" sz="1100"/>
            <a:t>The current P-T condition will appear on the graph to the right which depicts melting curves for a typical granite melt at different H2O contents {11}.</a:t>
          </a:r>
        </a:p>
        <a:p>
          <a:endParaRPr lang="en-CA" sz="1100"/>
        </a:p>
        <a:p>
          <a:r>
            <a:rPr lang="en-CA" sz="1100" baseline="0">
              <a:solidFill>
                <a:schemeClr val="dk1"/>
              </a:solidFill>
              <a:effectLst/>
              <a:latin typeface="+mn-lt"/>
              <a:ea typeface="+mn-ea"/>
              <a:cs typeface="+mn-cs"/>
            </a:rPr>
            <a:t>"P(i)" represents the pressure at a given pressure and temperature condition.</a:t>
          </a:r>
        </a:p>
        <a:p>
          <a:endParaRPr lang="en-CA" sz="1100" baseline="0">
            <a:solidFill>
              <a:schemeClr val="dk1"/>
            </a:solidFill>
            <a:effectLst/>
            <a:latin typeface="+mn-lt"/>
            <a:ea typeface="+mn-ea"/>
            <a:cs typeface="+mn-cs"/>
          </a:endParaRPr>
        </a:p>
        <a:p>
          <a:r>
            <a:rPr lang="en-CA" sz="1100" baseline="0">
              <a:solidFill>
                <a:schemeClr val="dk1"/>
              </a:solidFill>
              <a:effectLst/>
              <a:latin typeface="+mn-lt"/>
              <a:ea typeface="+mn-ea"/>
              <a:cs typeface="+mn-cs"/>
            </a:rPr>
            <a:t>The molar volume was best fit to two equations. Generally speaking, if the pressure is &lt; 60 MPa, the High V[m] equation should be used (change "Select V[m]:" to "H". If the pressure is &gt; 60 MPa, select "L".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471992</xdr:colOff>
      <xdr:row>21</xdr:row>
      <xdr:rowOff>53564</xdr:rowOff>
    </xdr:from>
    <xdr:to>
      <xdr:col>39</xdr:col>
      <xdr:colOff>376517</xdr:colOff>
      <xdr:row>55</xdr:row>
      <xdr:rowOff>8965</xdr:rowOff>
    </xdr:to>
    <xdr:graphicFrame macro="">
      <xdr:nvGraphicFramePr>
        <xdr:cNvPr id="2" name="Chart 1">
          <a:extLst>
            <a:ext uri="{FF2B5EF4-FFF2-40B4-BE49-F238E27FC236}">
              <a16:creationId xmlns:a16="http://schemas.microsoft.com/office/drawing/2014/main" id="{7787EDBE-370A-4531-8F7A-B71B41373E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498886</xdr:colOff>
      <xdr:row>20</xdr:row>
      <xdr:rowOff>161140</xdr:rowOff>
    </xdr:from>
    <xdr:to>
      <xdr:col>39</xdr:col>
      <xdr:colOff>403411</xdr:colOff>
      <xdr:row>54</xdr:row>
      <xdr:rowOff>116541</xdr:rowOff>
    </xdr:to>
    <xdr:graphicFrame macro="">
      <xdr:nvGraphicFramePr>
        <xdr:cNvPr id="3" name="Chart 2">
          <a:extLst>
            <a:ext uri="{FF2B5EF4-FFF2-40B4-BE49-F238E27FC236}">
              <a16:creationId xmlns:a16="http://schemas.microsoft.com/office/drawing/2014/main" id="{8938F688-2A67-4825-B59B-C94E46CAA3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sac%20Jacques/Dropbox/Grad%20School%20Documents/STFXU/Pressure_model/Kamativi_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olubility"/>
      <sheetName val="Viscosity"/>
      <sheetName val="Model Graphs"/>
      <sheetName val="Haplogranite Bulk modulus"/>
      <sheetName val="Water and melt"/>
      <sheetName val="Isochore"/>
      <sheetName val="H2O Isochoric R"/>
      <sheetName val="P Isochoric R"/>
      <sheetName val="Sheet2"/>
      <sheetName val="Hydrogen Gibbs Calc"/>
      <sheetName val="Model Parameters"/>
      <sheetName val="Molar Properties"/>
      <sheetName val="Volumes"/>
      <sheetName val="Density melt"/>
      <sheetName val="Result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v>2500</v>
          </cell>
        </row>
        <row r="55">
          <cell r="C55">
            <v>1.8200000000000001E-2</v>
          </cell>
        </row>
        <row r="56">
          <cell r="C56">
            <v>7.1000000000000004E-3</v>
          </cell>
        </row>
        <row r="57">
          <cell r="C57">
            <v>4.1200000000000001E-2</v>
          </cell>
        </row>
        <row r="58">
          <cell r="C58">
            <v>3.6900000000000002E-2</v>
          </cell>
        </row>
        <row r="60">
          <cell r="C60">
            <v>2.9999999999999997E-4</v>
          </cell>
        </row>
        <row r="61">
          <cell r="C61">
            <v>0.14419999999999999</v>
          </cell>
        </row>
        <row r="62">
          <cell r="C62">
            <v>0.72040000000000004</v>
          </cell>
        </row>
        <row r="63">
          <cell r="C63">
            <v>1.2200000000000001E-2</v>
          </cell>
        </row>
        <row r="64">
          <cell r="C64">
            <v>1.6799999999999999E-2</v>
          </cell>
        </row>
        <row r="65">
          <cell r="C65">
            <v>7.0000000000000007E-2</v>
          </cell>
        </row>
      </sheetData>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59A14-9C12-4613-8E7C-1E6F41F2E1AA}">
  <dimension ref="A1"/>
  <sheetViews>
    <sheetView workbookViewId="0">
      <selection activeCell="L10" sqref="L10"/>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5D09-869C-4DC4-9ADE-EA52C68988A2}">
  <dimension ref="A1:L56"/>
  <sheetViews>
    <sheetView tabSelected="1" workbookViewId="0">
      <selection activeCell="E24" sqref="E24"/>
    </sheetView>
  </sheetViews>
  <sheetFormatPr defaultRowHeight="14.4" x14ac:dyDescent="0.3"/>
  <cols>
    <col min="1" max="1" width="18" bestFit="1" customWidth="1"/>
    <col min="2" max="2" width="12" bestFit="1" customWidth="1"/>
    <col min="4" max="4" width="13.6640625" bestFit="1" customWidth="1"/>
    <col min="5" max="5" width="9.5546875" bestFit="1" customWidth="1"/>
    <col min="6" max="6" width="11" bestFit="1" customWidth="1"/>
    <col min="7" max="7" width="12" bestFit="1" customWidth="1"/>
    <col min="8" max="8" width="13.33203125" customWidth="1"/>
    <col min="9" max="9" width="10.33203125" customWidth="1"/>
  </cols>
  <sheetData>
    <row r="1" spans="1:12" x14ac:dyDescent="0.3">
      <c r="A1" s="28" t="s">
        <v>143</v>
      </c>
      <c r="B1" s="28"/>
      <c r="C1" s="28"/>
      <c r="D1" s="7" t="s">
        <v>0</v>
      </c>
      <c r="G1" s="7" t="s">
        <v>3</v>
      </c>
      <c r="K1" s="7" t="s">
        <v>148</v>
      </c>
    </row>
    <row r="2" spans="1:12" x14ac:dyDescent="0.3">
      <c r="A2" s="28" t="s">
        <v>140</v>
      </c>
      <c r="B2" s="28"/>
      <c r="C2" s="28"/>
      <c r="D2" s="67" t="s">
        <v>1</v>
      </c>
      <c r="E2" s="67">
        <v>22418976.809355631</v>
      </c>
      <c r="F2" s="5"/>
      <c r="G2" t="s">
        <v>7</v>
      </c>
      <c r="H2">
        <f>IFERROR('Melt Properties'!B43,0)</f>
        <v>9999.9998475690918</v>
      </c>
      <c r="K2" t="s">
        <v>145</v>
      </c>
      <c r="L2" t="e">
        <f>#REF!*100</f>
        <v>#REF!</v>
      </c>
    </row>
    <row r="3" spans="1:12" x14ac:dyDescent="0.3">
      <c r="A3" s="28"/>
      <c r="B3" s="28"/>
      <c r="C3" s="28"/>
      <c r="D3" s="67" t="s">
        <v>160</v>
      </c>
      <c r="E3" s="67">
        <v>0.05</v>
      </c>
      <c r="G3" t="s">
        <v>89</v>
      </c>
      <c r="H3">
        <f>E2*E21</f>
        <v>22418976.809355631</v>
      </c>
      <c r="K3" t="s">
        <v>147</v>
      </c>
      <c r="L3" t="e">
        <f>#REF!*100</f>
        <v>#REF!</v>
      </c>
    </row>
    <row r="4" spans="1:12" x14ac:dyDescent="0.3">
      <c r="A4" s="28"/>
      <c r="B4" s="28"/>
      <c r="C4" s="28"/>
      <c r="D4" s="67" t="s">
        <v>210</v>
      </c>
      <c r="E4" s="67">
        <v>200</v>
      </c>
      <c r="G4" t="s">
        <v>6</v>
      </c>
      <c r="H4">
        <f>IFERROR('Melt Properties'!B42,0)</f>
        <v>2241.8977151090135</v>
      </c>
      <c r="K4" t="s">
        <v>146</v>
      </c>
      <c r="L4" t="e">
        <f>#REF!*100</f>
        <v>#REF!</v>
      </c>
    </row>
    <row r="5" spans="1:12" x14ac:dyDescent="0.3">
      <c r="A5" s="28"/>
      <c r="B5" s="28"/>
      <c r="C5" s="28"/>
      <c r="D5" s="67" t="s">
        <v>125</v>
      </c>
      <c r="E5" s="67">
        <v>718</v>
      </c>
      <c r="G5" t="s">
        <v>158</v>
      </c>
      <c r="H5">
        <f>IF('Melt Properties'!B6&lt;0,0,'Melt Properties'!B6)</f>
        <v>5.8939999999999999E-2</v>
      </c>
    </row>
    <row r="6" spans="1:12" x14ac:dyDescent="0.3">
      <c r="A6" s="28"/>
      <c r="B6" s="28"/>
      <c r="C6" s="28"/>
      <c r="D6" s="67" t="s">
        <v>161</v>
      </c>
      <c r="E6" s="67">
        <v>10000</v>
      </c>
      <c r="G6" t="s">
        <v>4</v>
      </c>
      <c r="H6" s="6">
        <f>IF(H5&gt;1,1,IF(H5&lt;0,1,H5))</f>
        <v>5.8939999999999999E-2</v>
      </c>
      <c r="K6" s="7"/>
    </row>
    <row r="7" spans="1:12" x14ac:dyDescent="0.3">
      <c r="A7" s="28"/>
      <c r="B7" s="28"/>
      <c r="C7" s="28"/>
      <c r="G7" t="s">
        <v>121</v>
      </c>
      <c r="H7" s="6">
        <f>'Melt Properties'!H20</f>
        <v>4.9999999999999996E-2</v>
      </c>
    </row>
    <row r="8" spans="1:12" x14ac:dyDescent="0.3">
      <c r="A8" s="28"/>
      <c r="B8" s="28"/>
      <c r="C8" s="28"/>
      <c r="D8" s="7" t="s">
        <v>33</v>
      </c>
      <c r="E8" s="7" t="s">
        <v>118</v>
      </c>
      <c r="G8" t="s">
        <v>139</v>
      </c>
      <c r="H8">
        <f>'Melt Properties'!I39 * 100000</f>
        <v>1.5782424999999995</v>
      </c>
    </row>
    <row r="9" spans="1:12" x14ac:dyDescent="0.3">
      <c r="A9" s="28"/>
      <c r="B9" s="28"/>
      <c r="C9" s="28"/>
      <c r="D9" t="s">
        <v>47</v>
      </c>
      <c r="E9" s="6">
        <v>0</v>
      </c>
      <c r="H9" s="7"/>
    </row>
    <row r="10" spans="1:12" x14ac:dyDescent="0.3">
      <c r="A10" s="28"/>
      <c r="B10" s="28"/>
      <c r="C10" s="28"/>
      <c r="D10" t="s">
        <v>46</v>
      </c>
      <c r="E10" s="6">
        <v>0</v>
      </c>
      <c r="G10" s="7" t="s">
        <v>8</v>
      </c>
    </row>
    <row r="11" spans="1:12" x14ac:dyDescent="0.3">
      <c r="A11" s="28"/>
      <c r="B11" s="28"/>
      <c r="C11" s="28"/>
      <c r="D11" t="s">
        <v>49</v>
      </c>
      <c r="E11" s="6">
        <v>4.4741935483871002E-2</v>
      </c>
      <c r="G11" t="s">
        <v>9</v>
      </c>
      <c r="H11" s="5">
        <f>'Crystal Properties'!F18</f>
        <v>0</v>
      </c>
      <c r="K11" s="7"/>
    </row>
    <row r="12" spans="1:12" x14ac:dyDescent="0.3">
      <c r="B12" s="28"/>
      <c r="C12" s="28"/>
      <c r="D12" t="s">
        <v>48</v>
      </c>
      <c r="E12" s="6">
        <v>4.5125806451612897E-2</v>
      </c>
      <c r="G12" t="s">
        <v>17</v>
      </c>
      <c r="H12" s="5">
        <f>'Crystal Properties'!B19</f>
        <v>0</v>
      </c>
    </row>
    <row r="13" spans="1:12" x14ac:dyDescent="0.3">
      <c r="B13" s="28"/>
      <c r="C13" s="28"/>
      <c r="D13" t="s">
        <v>57</v>
      </c>
      <c r="E13" s="6">
        <v>0</v>
      </c>
      <c r="G13" t="s">
        <v>16</v>
      </c>
      <c r="H13" s="5">
        <f>'Crystal Properties'!F19</f>
        <v>0</v>
      </c>
    </row>
    <row r="14" spans="1:12" x14ac:dyDescent="0.3">
      <c r="A14" s="28"/>
      <c r="C14" s="28"/>
      <c r="D14" t="s">
        <v>41</v>
      </c>
      <c r="E14" s="6">
        <v>0</v>
      </c>
      <c r="G14" t="s">
        <v>15</v>
      </c>
      <c r="H14" s="5">
        <f>'Crystal Properties'!D19</f>
        <v>0</v>
      </c>
    </row>
    <row r="15" spans="1:12" x14ac:dyDescent="0.3">
      <c r="A15" s="28"/>
      <c r="C15" s="28"/>
      <c r="D15" t="s">
        <v>58</v>
      </c>
      <c r="E15" s="6">
        <v>0.123838709677419</v>
      </c>
      <c r="H15" s="5"/>
    </row>
    <row r="16" spans="1:12" x14ac:dyDescent="0.3">
      <c r="B16" s="28"/>
      <c r="C16" s="28"/>
      <c r="D16" t="s">
        <v>40</v>
      </c>
      <c r="E16" s="6">
        <v>0.74638064516128999</v>
      </c>
      <c r="G16" s="7" t="s">
        <v>10</v>
      </c>
    </row>
    <row r="17" spans="1:12" x14ac:dyDescent="0.3">
      <c r="B17" s="28"/>
      <c r="C17" s="28"/>
      <c r="D17" t="s">
        <v>43</v>
      </c>
      <c r="E17" s="6">
        <v>0</v>
      </c>
      <c r="G17" t="s">
        <v>98</v>
      </c>
      <c r="H17">
        <f>'Vapour Properties'!B10</f>
        <v>0</v>
      </c>
    </row>
    <row r="18" spans="1:12" x14ac:dyDescent="0.3">
      <c r="A18" s="28"/>
      <c r="B18" s="28"/>
      <c r="C18" s="28"/>
      <c r="D18" t="s">
        <v>44</v>
      </c>
      <c r="E18" s="6">
        <v>0</v>
      </c>
      <c r="G18" t="s">
        <v>91</v>
      </c>
      <c r="H18" s="5">
        <f>'Melt Properties'!E3</f>
        <v>1120948.8404677815</v>
      </c>
    </row>
    <row r="19" spans="1:12" x14ac:dyDescent="0.3">
      <c r="A19" s="28"/>
      <c r="G19" t="s">
        <v>11</v>
      </c>
      <c r="H19">
        <f>'Vapour Properties'!E14</f>
        <v>63.206043805767841</v>
      </c>
    </row>
    <row r="20" spans="1:12" x14ac:dyDescent="0.3">
      <c r="D20" s="7" t="s">
        <v>2</v>
      </c>
      <c r="G20" t="s">
        <v>137</v>
      </c>
      <c r="H20" s="5">
        <f>'Vapour Properties'!H6</f>
        <v>-3.1777562756646209</v>
      </c>
    </row>
    <row r="21" spans="1:12" x14ac:dyDescent="0.3">
      <c r="B21" s="5"/>
      <c r="D21" s="67" t="s">
        <v>5</v>
      </c>
      <c r="E21" s="67">
        <v>1</v>
      </c>
      <c r="G21" t="s">
        <v>138</v>
      </c>
      <c r="H21" s="5">
        <f>'Vapour Properties'!K6</f>
        <v>36.85696633580671</v>
      </c>
    </row>
    <row r="22" spans="1:12" x14ac:dyDescent="0.3">
      <c r="B22" s="5"/>
      <c r="D22" s="67" t="s">
        <v>159</v>
      </c>
      <c r="E22" s="67">
        <v>718</v>
      </c>
      <c r="G22" s="37" t="s">
        <v>144</v>
      </c>
      <c r="H22" s="50" t="s">
        <v>140</v>
      </c>
    </row>
    <row r="23" spans="1:12" x14ac:dyDescent="0.3">
      <c r="D23" s="67" t="s">
        <v>198</v>
      </c>
      <c r="E23" s="67">
        <v>200</v>
      </c>
    </row>
    <row r="24" spans="1:12" x14ac:dyDescent="0.3">
      <c r="G24" s="7"/>
    </row>
    <row r="25" spans="1:12" x14ac:dyDescent="0.3">
      <c r="D25" s="48" t="s">
        <v>111</v>
      </c>
      <c r="E25" s="5">
        <f>H17+H11+H2</f>
        <v>9999.9998475690918</v>
      </c>
    </row>
    <row r="26" spans="1:12" x14ac:dyDescent="0.3">
      <c r="D26" t="s">
        <v>157</v>
      </c>
      <c r="E26" s="5">
        <f>J30-E6</f>
        <v>-1.5243090820149519E-4</v>
      </c>
      <c r="G26" s="7"/>
      <c r="H26" s="5"/>
    </row>
    <row r="29" spans="1:12" x14ac:dyDescent="0.3">
      <c r="D29" t="s">
        <v>5</v>
      </c>
      <c r="E29" t="s">
        <v>72</v>
      </c>
      <c r="F29" t="s">
        <v>197</v>
      </c>
      <c r="G29" t="s">
        <v>106</v>
      </c>
      <c r="H29" t="s">
        <v>107</v>
      </c>
      <c r="I29" t="s">
        <v>108</v>
      </c>
      <c r="J29" t="s">
        <v>109</v>
      </c>
      <c r="K29" t="s">
        <v>110</v>
      </c>
      <c r="L29" t="s">
        <v>132</v>
      </c>
    </row>
    <row r="30" spans="1:12" x14ac:dyDescent="0.3">
      <c r="D30">
        <f>E21</f>
        <v>1</v>
      </c>
      <c r="E30">
        <f>E22</f>
        <v>718</v>
      </c>
      <c r="F30">
        <f>E23</f>
        <v>200</v>
      </c>
      <c r="G30" s="5">
        <f>H11</f>
        <v>0</v>
      </c>
      <c r="H30">
        <f>H2</f>
        <v>9999.9998475690918</v>
      </c>
      <c r="I30">
        <f>'Vapour Properties'!B10</f>
        <v>0</v>
      </c>
      <c r="J30" s="5">
        <f>SUM(G30:I30)</f>
        <v>9999.9998475690918</v>
      </c>
      <c r="K30">
        <f>IFERROR('Melt Properties'!B42,0)</f>
        <v>2241.8977151090135</v>
      </c>
      <c r="L30" s="6">
        <f>H7</f>
        <v>4.9999999999999996E-2</v>
      </c>
    </row>
    <row r="32" spans="1:12" x14ac:dyDescent="0.3">
      <c r="D32" t="s">
        <v>5</v>
      </c>
      <c r="E32" t="s">
        <v>122</v>
      </c>
      <c r="F32" t="s">
        <v>73</v>
      </c>
      <c r="G32" t="s">
        <v>106</v>
      </c>
      <c r="H32" t="s">
        <v>107</v>
      </c>
      <c r="I32" t="s">
        <v>108</v>
      </c>
      <c r="J32" t="s">
        <v>109</v>
      </c>
      <c r="K32" t="s">
        <v>110</v>
      </c>
      <c r="L32" t="s">
        <v>132</v>
      </c>
    </row>
    <row r="33" spans="1:11" x14ac:dyDescent="0.3">
      <c r="K33" s="67"/>
    </row>
    <row r="34" spans="1:11" x14ac:dyDescent="0.3">
      <c r="A34" s="67"/>
      <c r="B34" s="67"/>
      <c r="C34" s="67"/>
      <c r="D34" s="67"/>
      <c r="E34" s="67"/>
      <c r="F34" s="67"/>
      <c r="G34" s="67"/>
      <c r="H34" s="67"/>
      <c r="I34" s="67"/>
      <c r="J34" s="67"/>
      <c r="K34" s="67"/>
    </row>
    <row r="35" spans="1:11" x14ac:dyDescent="0.3">
      <c r="A35" s="67"/>
      <c r="B35" s="67"/>
      <c r="C35" s="67"/>
    </row>
    <row r="36" spans="1:11" x14ac:dyDescent="0.3">
      <c r="A36" s="67"/>
      <c r="B36" s="67"/>
      <c r="C36" s="67"/>
    </row>
    <row r="37" spans="1:11" x14ac:dyDescent="0.3">
      <c r="A37" s="67"/>
      <c r="B37" s="67"/>
      <c r="C37" s="67"/>
      <c r="D37" s="67"/>
      <c r="E37" s="67"/>
      <c r="F37" s="67"/>
      <c r="G37" s="67"/>
      <c r="H37" s="67"/>
      <c r="I37" s="67"/>
      <c r="J37" s="67"/>
      <c r="K37" s="67"/>
    </row>
    <row r="38" spans="1:11" x14ac:dyDescent="0.3">
      <c r="A38" s="67"/>
      <c r="B38" s="67"/>
      <c r="C38" s="67"/>
      <c r="D38" s="67"/>
      <c r="E38" s="67"/>
      <c r="F38" s="67"/>
      <c r="G38" s="67"/>
      <c r="H38" s="67"/>
      <c r="I38" s="67"/>
      <c r="J38" s="67"/>
      <c r="K38" s="67"/>
    </row>
    <row r="39" spans="1:11" x14ac:dyDescent="0.3">
      <c r="A39" s="67"/>
      <c r="B39" s="67"/>
      <c r="C39" s="67"/>
    </row>
    <row r="40" spans="1:11" x14ac:dyDescent="0.3">
      <c r="A40" s="67"/>
      <c r="B40" s="67"/>
      <c r="C40" s="67"/>
      <c r="D40" s="67"/>
      <c r="E40" s="67"/>
      <c r="F40" s="67"/>
      <c r="G40" s="67"/>
      <c r="H40" s="67"/>
      <c r="I40" s="67"/>
      <c r="J40" s="67"/>
      <c r="K40" s="67"/>
    </row>
    <row r="41" spans="1:11" x14ac:dyDescent="0.3">
      <c r="A41" s="67"/>
      <c r="B41" s="67"/>
      <c r="C41" s="67"/>
      <c r="D41" s="67"/>
      <c r="E41" s="67"/>
      <c r="F41" s="67"/>
      <c r="G41" s="67"/>
      <c r="H41" s="67"/>
      <c r="I41" s="67"/>
      <c r="J41" s="67"/>
      <c r="K41" s="67"/>
    </row>
    <row r="42" spans="1:11" x14ac:dyDescent="0.3">
      <c r="A42" s="67"/>
      <c r="B42" s="67"/>
      <c r="C42" s="67"/>
      <c r="D42" s="67"/>
      <c r="E42" s="67"/>
      <c r="F42" s="67"/>
      <c r="G42" s="67"/>
      <c r="H42" s="67"/>
      <c r="I42" s="67"/>
      <c r="J42" s="67"/>
      <c r="K42" s="67"/>
    </row>
    <row r="43" spans="1:11" x14ac:dyDescent="0.3">
      <c r="A43" s="67"/>
      <c r="B43" s="67"/>
      <c r="C43" s="67"/>
      <c r="D43" s="68"/>
      <c r="E43" s="67"/>
      <c r="F43" s="67"/>
      <c r="G43" s="68"/>
      <c r="H43" s="67"/>
      <c r="I43" s="67"/>
      <c r="J43" s="69"/>
      <c r="K43" s="67"/>
    </row>
    <row r="44" spans="1:11" x14ac:dyDescent="0.3">
      <c r="A44" s="67"/>
      <c r="B44" s="67"/>
      <c r="C44" s="67"/>
      <c r="D44" s="68"/>
      <c r="E44" s="67"/>
      <c r="F44" s="67"/>
      <c r="G44" s="68"/>
      <c r="H44" s="67"/>
      <c r="I44" s="67"/>
      <c r="J44" s="69"/>
      <c r="K44" s="67"/>
    </row>
    <row r="45" spans="1:11" x14ac:dyDescent="0.3">
      <c r="A45" s="67"/>
      <c r="B45" s="67"/>
      <c r="C45" s="67"/>
      <c r="D45" s="68"/>
      <c r="E45" s="67"/>
      <c r="F45" s="67"/>
      <c r="G45" s="68"/>
      <c r="H45" s="67"/>
      <c r="I45" s="67"/>
      <c r="J45" s="69"/>
      <c r="K45" s="67"/>
    </row>
    <row r="46" spans="1:11" x14ac:dyDescent="0.3">
      <c r="A46" s="67"/>
      <c r="B46" s="67"/>
      <c r="C46" s="67"/>
      <c r="D46" s="68"/>
      <c r="E46" s="67"/>
      <c r="F46" s="67"/>
      <c r="G46" s="68"/>
      <c r="H46" s="67"/>
      <c r="I46" s="67"/>
      <c r="J46" s="69"/>
      <c r="K46" s="67"/>
    </row>
    <row r="47" spans="1:11" x14ac:dyDescent="0.3">
      <c r="A47" s="67"/>
      <c r="B47" s="67"/>
      <c r="C47" s="67"/>
      <c r="D47" s="68"/>
      <c r="E47" s="67"/>
      <c r="F47" s="67"/>
      <c r="G47" s="68"/>
      <c r="H47" s="67"/>
      <c r="I47" s="67"/>
      <c r="J47" s="69"/>
      <c r="K47" s="67"/>
    </row>
    <row r="48" spans="1:11" x14ac:dyDescent="0.3">
      <c r="A48" s="67"/>
      <c r="B48" s="67"/>
      <c r="C48" s="67"/>
      <c r="D48" s="67"/>
      <c r="E48" s="67"/>
      <c r="F48" s="67"/>
      <c r="G48" s="67"/>
      <c r="H48" s="67"/>
      <c r="I48" s="67"/>
      <c r="J48" s="67"/>
      <c r="K48" s="67"/>
    </row>
    <row r="49" spans="1:10" x14ac:dyDescent="0.3">
      <c r="A49" s="67"/>
      <c r="B49" s="67"/>
      <c r="C49" s="67"/>
      <c r="D49" s="67"/>
      <c r="E49" s="67"/>
      <c r="F49" s="67"/>
      <c r="G49" s="67"/>
      <c r="H49" s="67"/>
      <c r="I49" s="67"/>
      <c r="J49" s="67"/>
    </row>
    <row r="50" spans="1:10" x14ac:dyDescent="0.3">
      <c r="A50" s="67"/>
      <c r="B50" s="67"/>
      <c r="C50" s="67"/>
      <c r="D50" s="67"/>
      <c r="E50" s="67"/>
      <c r="F50" s="67"/>
      <c r="G50" s="67"/>
      <c r="H50" s="67"/>
      <c r="I50" s="67"/>
      <c r="J50" s="67"/>
    </row>
    <row r="51" spans="1:10" x14ac:dyDescent="0.3">
      <c r="A51" s="67"/>
      <c r="B51" s="67"/>
      <c r="C51" s="67"/>
      <c r="D51" s="67"/>
      <c r="E51" s="67"/>
      <c r="F51" s="67"/>
      <c r="G51" s="67"/>
      <c r="H51" s="67"/>
      <c r="I51" s="67"/>
      <c r="J51" s="67"/>
    </row>
    <row r="52" spans="1:10" x14ac:dyDescent="0.3">
      <c r="A52" s="67"/>
      <c r="B52" s="67"/>
      <c r="C52" s="67"/>
      <c r="D52" s="67"/>
      <c r="E52" s="67"/>
      <c r="F52" s="67"/>
      <c r="G52" s="67"/>
      <c r="H52" s="67"/>
      <c r="I52" s="67"/>
      <c r="J52" s="67"/>
    </row>
    <row r="53" spans="1:10" x14ac:dyDescent="0.3">
      <c r="A53" s="67"/>
      <c r="B53" s="67"/>
      <c r="C53" s="67"/>
      <c r="D53" s="67"/>
      <c r="E53" s="67"/>
      <c r="F53" s="67"/>
      <c r="G53" s="67"/>
      <c r="H53" s="67"/>
      <c r="I53" s="67"/>
      <c r="J53" s="67"/>
    </row>
    <row r="54" spans="1:10" x14ac:dyDescent="0.3">
      <c r="A54" s="67"/>
      <c r="B54" s="67"/>
      <c r="C54" s="67"/>
      <c r="D54" s="67"/>
      <c r="E54" s="67"/>
      <c r="F54" s="67"/>
      <c r="G54" s="67"/>
      <c r="H54" s="67"/>
      <c r="I54" s="67"/>
      <c r="J54" s="67"/>
    </row>
    <row r="55" spans="1:10" x14ac:dyDescent="0.3">
      <c r="A55" s="67"/>
      <c r="B55" s="67"/>
      <c r="C55" s="67"/>
      <c r="D55" s="67"/>
      <c r="E55" s="67"/>
      <c r="F55" s="67"/>
      <c r="G55" s="67"/>
      <c r="H55" s="67"/>
      <c r="I55" s="67"/>
      <c r="J55" s="67"/>
    </row>
    <row r="56" spans="1:10" x14ac:dyDescent="0.3">
      <c r="A56" s="67"/>
      <c r="B56" s="67"/>
      <c r="C56" s="67"/>
      <c r="D56" s="67"/>
      <c r="E56" s="67"/>
      <c r="F56" s="67"/>
      <c r="G56" s="67"/>
      <c r="H56" s="67"/>
      <c r="I56" s="67"/>
      <c r="J56" s="67"/>
    </row>
  </sheetData>
  <dataValidations disablePrompts="1" count="2">
    <dataValidation type="list" allowBlank="1" showInputMessage="1" showErrorMessage="1" sqref="L12:L14" xr:uid="{2D3012D2-21BD-426D-9CA7-AC1B4BC221FA}">
      <formula1>$B$14:$B$15</formula1>
    </dataValidation>
    <dataValidation type="list" allowBlank="1" showInputMessage="1" showErrorMessage="1" sqref="H22" xr:uid="{037CFA01-B5A6-47B7-852B-FC2F0357299C}">
      <formula1>$A$1:$A$2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21DFB-CBDD-4C6C-8EF3-42C5391A3E02}">
  <dimension ref="A1:AR51"/>
  <sheetViews>
    <sheetView zoomScaleNormal="100" workbookViewId="0">
      <selection activeCell="L29" sqref="L29"/>
    </sheetView>
  </sheetViews>
  <sheetFormatPr defaultRowHeight="14.4" x14ac:dyDescent="0.3"/>
  <cols>
    <col min="2" max="2" width="11.6640625" bestFit="1" customWidth="1"/>
    <col min="4" max="4" width="11" bestFit="1" customWidth="1"/>
    <col min="5" max="5" width="10.21875" customWidth="1"/>
    <col min="6" max="6" width="11" bestFit="1" customWidth="1"/>
    <col min="9" max="9" width="12.6640625" bestFit="1" customWidth="1"/>
    <col min="11" max="11" width="12" bestFit="1" customWidth="1"/>
    <col min="12" max="12" width="14.33203125" bestFit="1" customWidth="1"/>
    <col min="13" max="13" width="12" bestFit="1" customWidth="1"/>
    <col min="15" max="15" width="10" bestFit="1" customWidth="1"/>
    <col min="16" max="16" width="11.77734375" bestFit="1" customWidth="1"/>
    <col min="17" max="18" width="12" bestFit="1" customWidth="1"/>
    <col min="19" max="19" width="9.44140625" bestFit="1" customWidth="1"/>
    <col min="20" max="20" width="12" bestFit="1" customWidth="1"/>
    <col min="21" max="22" width="11" bestFit="1" customWidth="1"/>
    <col min="29" max="30" width="11" bestFit="1" customWidth="1"/>
  </cols>
  <sheetData>
    <row r="1" spans="1:29" x14ac:dyDescent="0.3">
      <c r="A1" s="7" t="s">
        <v>152</v>
      </c>
    </row>
    <row r="2" spans="1:29" x14ac:dyDescent="0.3">
      <c r="A2" t="s">
        <v>61</v>
      </c>
      <c r="B2">
        <f>Overview!E22+273.15</f>
        <v>991.15</v>
      </c>
      <c r="D2" t="s">
        <v>65</v>
      </c>
      <c r="E2">
        <f>Overview!E2</f>
        <v>22418976.809355631</v>
      </c>
      <c r="Q2" s="4"/>
      <c r="R2" s="4"/>
      <c r="S2" s="4"/>
      <c r="T2" s="4"/>
      <c r="U2" s="4"/>
      <c r="V2" s="4"/>
    </row>
    <row r="3" spans="1:29" x14ac:dyDescent="0.3">
      <c r="A3" t="s">
        <v>62</v>
      </c>
      <c r="B3" s="4">
        <f>Overview!E23*0.001</f>
        <v>0.2</v>
      </c>
      <c r="D3" t="s">
        <v>63</v>
      </c>
      <c r="E3" s="24">
        <f>E2*B5</f>
        <v>1120948.8404677815</v>
      </c>
      <c r="Q3" s="4"/>
      <c r="R3" s="4"/>
      <c r="S3" s="4"/>
      <c r="T3" s="4"/>
      <c r="U3" s="4"/>
      <c r="V3" s="4"/>
      <c r="W3" s="4"/>
      <c r="X3" s="4"/>
      <c r="Y3" s="4"/>
      <c r="Z3" s="4"/>
    </row>
    <row r="4" spans="1:29" x14ac:dyDescent="0.3">
      <c r="A4" t="s">
        <v>124</v>
      </c>
      <c r="B4" s="3">
        <f>G21</f>
        <v>22418976.809355631</v>
      </c>
      <c r="D4" t="s">
        <v>66</v>
      </c>
      <c r="E4">
        <f>F20</f>
        <v>62222115.91869688</v>
      </c>
      <c r="Q4" s="4"/>
      <c r="R4" s="64"/>
      <c r="S4" s="4"/>
      <c r="T4" s="4"/>
      <c r="U4" s="4"/>
      <c r="V4" s="4"/>
      <c r="W4" s="4"/>
      <c r="X4" s="4"/>
      <c r="Y4" s="4"/>
      <c r="Z4" s="4"/>
    </row>
    <row r="5" spans="1:29" x14ac:dyDescent="0.3">
      <c r="A5" t="s">
        <v>64</v>
      </c>
      <c r="B5">
        <f>Overview!E3</f>
        <v>0.05</v>
      </c>
      <c r="D5" t="s">
        <v>134</v>
      </c>
      <c r="E5">
        <f>(G21-E3)</f>
        <v>21298027.968887851</v>
      </c>
      <c r="I5" s="57"/>
      <c r="Q5" s="4"/>
      <c r="R5" s="64"/>
      <c r="S5" s="4"/>
      <c r="T5" s="4"/>
      <c r="U5" s="3"/>
      <c r="V5" s="4"/>
      <c r="W5" s="4"/>
      <c r="X5" s="4"/>
      <c r="Y5" s="4"/>
      <c r="Z5" s="4"/>
    </row>
    <row r="6" spans="1:29" x14ac:dyDescent="0.3">
      <c r="A6" t="s">
        <v>194</v>
      </c>
      <c r="B6">
        <f>(0.0149*(B3*10)^3-0.2676*(B3*10)^2+2.7551*(B3*10)+1.335)/100</f>
        <v>5.8939999999999999E-2</v>
      </c>
      <c r="D6" t="s">
        <v>193</v>
      </c>
      <c r="E6">
        <f>9.144+0.003685*B2+0.00001168*B2^2-0.00000000199*B2^3+(B3*10)*(0.0122-0.001945*B2 - 0.000000158*B2^2)+(B3*10)^2 * (0.0468+0.0001144*B2)-(B3*10)^3 * 0.00396</f>
        <v>18.800400040941707</v>
      </c>
      <c r="I6" s="57"/>
      <c r="Q6" s="4"/>
      <c r="R6" s="64"/>
      <c r="S6" s="4"/>
      <c r="T6" s="4"/>
      <c r="U6" s="3"/>
      <c r="V6" s="4"/>
      <c r="W6" s="4"/>
      <c r="X6" s="4"/>
      <c r="Y6" s="4"/>
      <c r="Z6" s="4"/>
    </row>
    <row r="7" spans="1:29" x14ac:dyDescent="0.3">
      <c r="I7" s="48"/>
      <c r="Q7" s="4"/>
      <c r="R7" s="64"/>
      <c r="S7" s="4"/>
      <c r="T7" s="4"/>
      <c r="U7" s="3"/>
      <c r="V7" s="4"/>
      <c r="W7" s="4"/>
      <c r="X7" s="4"/>
      <c r="Y7" s="4"/>
      <c r="Z7" s="4"/>
    </row>
    <row r="8" spans="1:29" x14ac:dyDescent="0.3">
      <c r="I8" s="48"/>
      <c r="Q8" s="4"/>
      <c r="R8" s="4"/>
      <c r="S8" s="4"/>
      <c r="T8" s="4"/>
      <c r="U8" s="4"/>
      <c r="V8" s="53"/>
      <c r="AA8" s="53"/>
    </row>
    <row r="9" spans="1:29" x14ac:dyDescent="0.3">
      <c r="A9" s="53" t="s">
        <v>33</v>
      </c>
      <c r="B9" s="53" t="s">
        <v>54</v>
      </c>
      <c r="C9" s="53" t="s">
        <v>55</v>
      </c>
      <c r="D9" s="53" t="s">
        <v>112</v>
      </c>
      <c r="E9" s="53" t="s">
        <v>113</v>
      </c>
      <c r="F9" s="53" t="s">
        <v>114</v>
      </c>
      <c r="G9" s="53" t="s">
        <v>115</v>
      </c>
      <c r="H9" s="53" t="s">
        <v>117</v>
      </c>
      <c r="I9" s="53" t="s">
        <v>116</v>
      </c>
      <c r="J9" s="53" t="s">
        <v>119</v>
      </c>
      <c r="K9" s="53" t="s">
        <v>126</v>
      </c>
      <c r="N9" s="53"/>
      <c r="Q9" s="4"/>
      <c r="R9" s="4"/>
      <c r="S9" s="4"/>
      <c r="T9" s="4"/>
      <c r="U9" s="4"/>
      <c r="V9" s="4"/>
    </row>
    <row r="10" spans="1:29" x14ac:dyDescent="0.3">
      <c r="A10" s="3" t="s">
        <v>47</v>
      </c>
      <c r="B10" s="3">
        <v>56.08</v>
      </c>
      <c r="C10" s="3">
        <f>Overview!E9</f>
        <v>0</v>
      </c>
      <c r="D10" s="3">
        <f t="shared" ref="D10:D19" si="0">C10*((1-$C$20)/$C$21)</f>
        <v>0</v>
      </c>
      <c r="E10" s="3">
        <f t="shared" ref="E10:E20" si="1">D10*$E$2</f>
        <v>0</v>
      </c>
      <c r="F10" s="3">
        <f t="shared" ref="F10:F19" si="2">E10*1000/B10</f>
        <v>0</v>
      </c>
      <c r="G10" s="3">
        <f>E10*Overview!$E$21</f>
        <v>0</v>
      </c>
      <c r="H10" s="67">
        <f t="shared" ref="H10:H19" si="3">G10/$G$21</f>
        <v>0</v>
      </c>
      <c r="I10" s="3">
        <f t="shared" ref="I10:I20" si="4">G10/B10*1000</f>
        <v>0</v>
      </c>
      <c r="J10" s="3">
        <f t="shared" ref="J10:J20" si="5">I10/$I$21</f>
        <v>0</v>
      </c>
      <c r="K10" s="34">
        <f t="shared" ref="K10:K20" si="6">J10*B10</f>
        <v>0</v>
      </c>
      <c r="Q10" s="4"/>
      <c r="R10" s="4"/>
      <c r="S10" s="4"/>
      <c r="T10" s="4"/>
      <c r="U10" s="4"/>
      <c r="V10" s="4"/>
      <c r="Y10" s="24"/>
      <c r="AC10" s="24"/>
    </row>
    <row r="11" spans="1:29" x14ac:dyDescent="0.3">
      <c r="A11" s="3" t="s">
        <v>46</v>
      </c>
      <c r="B11" s="3">
        <v>40.299999999999997</v>
      </c>
      <c r="C11" s="3">
        <f>Overview!E10</f>
        <v>0</v>
      </c>
      <c r="D11" s="3">
        <f t="shared" si="0"/>
        <v>0</v>
      </c>
      <c r="E11" s="3">
        <f t="shared" si="1"/>
        <v>0</v>
      </c>
      <c r="F11" s="3">
        <f t="shared" si="2"/>
        <v>0</v>
      </c>
      <c r="G11" s="3">
        <f>E11*Overview!$E$21</f>
        <v>0</v>
      </c>
      <c r="H11" s="67">
        <f t="shared" si="3"/>
        <v>0</v>
      </c>
      <c r="I11" s="3">
        <f t="shared" si="4"/>
        <v>0</v>
      </c>
      <c r="J11" s="3">
        <f t="shared" si="5"/>
        <v>0</v>
      </c>
      <c r="K11" s="34">
        <f t="shared" si="6"/>
        <v>0</v>
      </c>
      <c r="Q11" s="4"/>
      <c r="R11" s="70"/>
      <c r="S11" s="4"/>
      <c r="T11" s="4"/>
      <c r="U11" s="4"/>
      <c r="V11" s="4"/>
      <c r="Y11" s="24"/>
      <c r="AC11" s="24"/>
    </row>
    <row r="12" spans="1:29" x14ac:dyDescent="0.3">
      <c r="A12" s="3" t="s">
        <v>49</v>
      </c>
      <c r="B12" s="3">
        <v>94.2</v>
      </c>
      <c r="C12" s="3">
        <f>Overview!E11</f>
        <v>4.4741935483871002E-2</v>
      </c>
      <c r="D12" s="3">
        <f t="shared" si="0"/>
        <v>4.4271857055979524E-2</v>
      </c>
      <c r="E12" s="3">
        <f t="shared" si="1"/>
        <v>992529.7366451124</v>
      </c>
      <c r="F12" s="3">
        <f t="shared" si="2"/>
        <v>10536409.093897158</v>
      </c>
      <c r="G12" s="3">
        <f>E12*Overview!$E$21</f>
        <v>992529.7366451124</v>
      </c>
      <c r="H12" s="67">
        <f t="shared" si="3"/>
        <v>4.4271857055979524E-2</v>
      </c>
      <c r="I12" s="3">
        <f t="shared" si="4"/>
        <v>10536409.093897158</v>
      </c>
      <c r="J12" s="3">
        <f t="shared" si="5"/>
        <v>2.6917012235629565E-2</v>
      </c>
      <c r="K12" s="34">
        <f t="shared" si="6"/>
        <v>2.5355825525963049</v>
      </c>
      <c r="Q12" s="4"/>
      <c r="R12" s="4"/>
      <c r="S12" s="4"/>
      <c r="T12" s="4"/>
      <c r="U12" s="4"/>
      <c r="V12" s="4"/>
      <c r="Y12" s="24"/>
      <c r="AC12" s="24"/>
    </row>
    <row r="13" spans="1:29" x14ac:dyDescent="0.3">
      <c r="A13" s="3" t="s">
        <v>48</v>
      </c>
      <c r="B13" s="3">
        <v>61.98</v>
      </c>
      <c r="C13" s="3">
        <f>Overview!E12</f>
        <v>4.5125806451612897E-2</v>
      </c>
      <c r="D13" s="3">
        <f t="shared" si="0"/>
        <v>4.4651694906712114E-2</v>
      </c>
      <c r="E13" s="3">
        <f t="shared" si="1"/>
        <v>1001045.3126120019</v>
      </c>
      <c r="F13" s="3">
        <f t="shared" si="2"/>
        <v>16151102.171861922</v>
      </c>
      <c r="G13" s="3">
        <f>E13*Overview!$E$21</f>
        <v>1001045.3126120019</v>
      </c>
      <c r="H13" s="67">
        <f t="shared" si="3"/>
        <v>4.4651694906712114E-2</v>
      </c>
      <c r="I13" s="3">
        <f t="shared" si="4"/>
        <v>16151102.171861922</v>
      </c>
      <c r="J13" s="3">
        <f t="shared" si="5"/>
        <v>4.1260681025636903E-2</v>
      </c>
      <c r="K13" s="34">
        <f t="shared" si="6"/>
        <v>2.557337009968975</v>
      </c>
      <c r="Q13" s="4"/>
      <c r="R13" s="4"/>
      <c r="S13" s="4"/>
      <c r="T13" s="4"/>
      <c r="U13" s="4"/>
      <c r="V13" s="4"/>
      <c r="Y13" s="24"/>
      <c r="AB13" s="51"/>
      <c r="AC13" s="24"/>
    </row>
    <row r="14" spans="1:29" x14ac:dyDescent="0.3">
      <c r="A14" s="3" t="s">
        <v>57</v>
      </c>
      <c r="B14" s="3">
        <v>141.94</v>
      </c>
      <c r="C14" s="3">
        <f>Overview!E13</f>
        <v>0</v>
      </c>
      <c r="D14" s="3">
        <f t="shared" si="0"/>
        <v>0</v>
      </c>
      <c r="E14" s="3">
        <f t="shared" si="1"/>
        <v>0</v>
      </c>
      <c r="F14" s="3">
        <f t="shared" si="2"/>
        <v>0</v>
      </c>
      <c r="G14" s="3">
        <f>E14*Overview!$E$21</f>
        <v>0</v>
      </c>
      <c r="H14" s="67">
        <f t="shared" si="3"/>
        <v>0</v>
      </c>
      <c r="I14" s="3">
        <f t="shared" si="4"/>
        <v>0</v>
      </c>
      <c r="J14" s="3">
        <f t="shared" si="5"/>
        <v>0</v>
      </c>
      <c r="K14" s="34">
        <f t="shared" si="6"/>
        <v>0</v>
      </c>
      <c r="U14" s="52"/>
      <c r="Y14" s="24"/>
      <c r="AC14" s="24"/>
    </row>
    <row r="15" spans="1:29" x14ac:dyDescent="0.3">
      <c r="A15" s="3" t="s">
        <v>41</v>
      </c>
      <c r="B15" s="3">
        <v>79.87</v>
      </c>
      <c r="C15" s="3">
        <f>Overview!E14</f>
        <v>0</v>
      </c>
      <c r="D15" s="3">
        <f t="shared" si="0"/>
        <v>0</v>
      </c>
      <c r="E15" s="3">
        <f t="shared" si="1"/>
        <v>0</v>
      </c>
      <c r="F15" s="3">
        <f t="shared" si="2"/>
        <v>0</v>
      </c>
      <c r="G15" s="3">
        <f>E15*Overview!$E$21</f>
        <v>0</v>
      </c>
      <c r="H15" s="67">
        <f t="shared" si="3"/>
        <v>0</v>
      </c>
      <c r="I15" s="3">
        <f t="shared" si="4"/>
        <v>0</v>
      </c>
      <c r="J15" s="3">
        <f t="shared" si="5"/>
        <v>0</v>
      </c>
      <c r="K15" s="34">
        <f t="shared" si="6"/>
        <v>0</v>
      </c>
      <c r="S15" s="48"/>
      <c r="V15" s="29"/>
      <c r="W15" s="34"/>
      <c r="Y15" s="24"/>
      <c r="AC15" s="24"/>
    </row>
    <row r="16" spans="1:29" x14ac:dyDescent="0.3">
      <c r="A16" s="3" t="s">
        <v>58</v>
      </c>
      <c r="B16" s="3">
        <v>101.96</v>
      </c>
      <c r="C16" s="3">
        <f>Overview!E15</f>
        <v>0.123838709677419</v>
      </c>
      <c r="D16" s="3">
        <f t="shared" si="0"/>
        <v>0.12253760579517288</v>
      </c>
      <c r="E16" s="3">
        <f t="shared" si="1"/>
        <v>2747167.7425959432</v>
      </c>
      <c r="F16" s="3">
        <f t="shared" si="2"/>
        <v>26943583.195330944</v>
      </c>
      <c r="G16" s="3">
        <f>E16*Overview!$E$21</f>
        <v>2747167.7425959432</v>
      </c>
      <c r="H16" s="67">
        <f t="shared" si="3"/>
        <v>0.12253760579517288</v>
      </c>
      <c r="I16" s="3">
        <f t="shared" si="4"/>
        <v>26943583.195330948</v>
      </c>
      <c r="J16" s="3">
        <f t="shared" si="5"/>
        <v>6.8831871663040903E-2</v>
      </c>
      <c r="K16" s="34">
        <f t="shared" si="6"/>
        <v>7.0180976347636497</v>
      </c>
      <c r="N16" s="48"/>
      <c r="O16" s="48"/>
      <c r="S16" s="56"/>
      <c r="T16" s="48"/>
      <c r="U16" s="48"/>
      <c r="W16" s="57"/>
      <c r="X16" s="3"/>
      <c r="AA16" s="48"/>
    </row>
    <row r="17" spans="1:44" x14ac:dyDescent="0.3">
      <c r="A17" s="3" t="s">
        <v>40</v>
      </c>
      <c r="B17" s="3">
        <v>60.08</v>
      </c>
      <c r="C17" s="3">
        <f>Overview!E16</f>
        <v>0.74638064516128999</v>
      </c>
      <c r="D17" s="3">
        <f t="shared" si="0"/>
        <v>0.7385388422421354</v>
      </c>
      <c r="E17" s="3">
        <f t="shared" si="1"/>
        <v>16557285.177034792</v>
      </c>
      <c r="F17" s="3">
        <f t="shared" si="2"/>
        <v>275587303.21296257</v>
      </c>
      <c r="G17" s="3">
        <f>E17*Overview!$E$21</f>
        <v>16557285.177034792</v>
      </c>
      <c r="H17" s="67">
        <f t="shared" si="3"/>
        <v>0.7385388422421354</v>
      </c>
      <c r="I17" s="3">
        <f t="shared" si="4"/>
        <v>275587303.21296257</v>
      </c>
      <c r="J17" s="3">
        <f t="shared" si="5"/>
        <v>0.7040336747046082</v>
      </c>
      <c r="K17" s="34">
        <f t="shared" si="6"/>
        <v>42.298343176252857</v>
      </c>
      <c r="N17" s="48"/>
      <c r="O17" s="48"/>
      <c r="S17" s="54"/>
      <c r="T17" s="48"/>
      <c r="AA17" s="48"/>
    </row>
    <row r="18" spans="1:44" x14ac:dyDescent="0.3">
      <c r="A18" s="3" t="s">
        <v>43</v>
      </c>
      <c r="B18" s="3">
        <v>159.69</v>
      </c>
      <c r="C18" s="3">
        <f>Overview!E17</f>
        <v>0</v>
      </c>
      <c r="D18" s="3">
        <f t="shared" si="0"/>
        <v>0</v>
      </c>
      <c r="E18" s="3">
        <f t="shared" si="1"/>
        <v>0</v>
      </c>
      <c r="F18" s="3">
        <f t="shared" si="2"/>
        <v>0</v>
      </c>
      <c r="G18" s="3">
        <f>E18*Overview!$E$21</f>
        <v>0</v>
      </c>
      <c r="H18" s="67">
        <f t="shared" si="3"/>
        <v>0</v>
      </c>
      <c r="I18" s="3">
        <f t="shared" si="4"/>
        <v>0</v>
      </c>
      <c r="J18" s="3">
        <f t="shared" si="5"/>
        <v>0</v>
      </c>
      <c r="K18" s="34">
        <f t="shared" si="6"/>
        <v>0</v>
      </c>
      <c r="N18" s="48"/>
      <c r="O18" s="48"/>
      <c r="S18" s="54"/>
      <c r="T18" s="48"/>
      <c r="AA18" s="48"/>
    </row>
    <row r="19" spans="1:44" x14ac:dyDescent="0.3">
      <c r="A19" s="3" t="s">
        <v>44</v>
      </c>
      <c r="B19" s="3">
        <v>71.84</v>
      </c>
      <c r="C19" s="3">
        <f>Overview!E18</f>
        <v>0</v>
      </c>
      <c r="D19" s="3">
        <f t="shared" si="0"/>
        <v>0</v>
      </c>
      <c r="E19" s="3">
        <f t="shared" si="1"/>
        <v>0</v>
      </c>
      <c r="F19" s="3">
        <f t="shared" si="2"/>
        <v>0</v>
      </c>
      <c r="G19" s="3">
        <f>E19*Overview!$E$21</f>
        <v>0</v>
      </c>
      <c r="H19" s="67">
        <f t="shared" si="3"/>
        <v>0</v>
      </c>
      <c r="I19" s="3">
        <f t="shared" si="4"/>
        <v>0</v>
      </c>
      <c r="J19" s="3">
        <f t="shared" si="5"/>
        <v>0</v>
      </c>
      <c r="K19" s="34">
        <f t="shared" si="6"/>
        <v>0</v>
      </c>
      <c r="N19" s="34"/>
      <c r="O19" s="34"/>
      <c r="R19" s="57"/>
      <c r="S19" s="54"/>
      <c r="T19" s="55"/>
    </row>
    <row r="20" spans="1:44" x14ac:dyDescent="0.3">
      <c r="A20" s="3" t="s">
        <v>50</v>
      </c>
      <c r="B20" s="3">
        <v>18.015280000000001</v>
      </c>
      <c r="C20" s="80">
        <f>Overview!E3</f>
        <v>0.05</v>
      </c>
      <c r="D20" s="80">
        <f>C20</f>
        <v>0.05</v>
      </c>
      <c r="E20" s="3">
        <f t="shared" si="1"/>
        <v>1120948.8404677815</v>
      </c>
      <c r="F20" s="3">
        <f>E20*1000/B20</f>
        <v>62222115.91869688</v>
      </c>
      <c r="G20" s="3">
        <f>IF(E20&gt;(SUM(G10:G19)*B6),(SUM(G10:G19)*B6),E20)</f>
        <v>1120948.8404677815</v>
      </c>
      <c r="H20" s="67">
        <f>G20/G21</f>
        <v>4.9999999999999996E-2</v>
      </c>
      <c r="I20" s="3">
        <f t="shared" si="4"/>
        <v>62222115.91869688</v>
      </c>
      <c r="J20" s="3">
        <f t="shared" si="5"/>
        <v>0.15895676037108439</v>
      </c>
      <c r="K20" s="34">
        <f t="shared" si="6"/>
        <v>2.8636505459779893</v>
      </c>
      <c r="N20" s="48"/>
      <c r="Q20" s="48"/>
      <c r="R20" s="48"/>
      <c r="T20" s="55"/>
    </row>
    <row r="21" spans="1:44" x14ac:dyDescent="0.3">
      <c r="A21" s="3" t="s">
        <v>59</v>
      </c>
      <c r="B21" s="3"/>
      <c r="C21" s="3">
        <f>SUM(C10:C19)</f>
        <v>0.96008709677419291</v>
      </c>
      <c r="D21" s="3">
        <f>SUM(D10:D20)</f>
        <v>1</v>
      </c>
      <c r="E21" s="3">
        <f>SUM(E10:E20)</f>
        <v>22418976.809355631</v>
      </c>
      <c r="F21" s="3"/>
      <c r="G21" s="3">
        <f>SUM(G10:G20)</f>
        <v>22418976.809355631</v>
      </c>
      <c r="H21" s="67">
        <f>SUM(H10:H20)</f>
        <v>1</v>
      </c>
      <c r="I21" s="3">
        <f>SUM(I10:I20)</f>
        <v>391440513.59274948</v>
      </c>
      <c r="J21" s="3">
        <f>SUM(J10:J20)</f>
        <v>1</v>
      </c>
      <c r="K21" s="34">
        <f>SUM(K10:K20)-K20</f>
        <v>54.409360373581791</v>
      </c>
      <c r="N21" s="48"/>
      <c r="Q21" s="48"/>
      <c r="T21" s="55"/>
      <c r="U21" s="48"/>
      <c r="W21" s="57"/>
    </row>
    <row r="22" spans="1:44" x14ac:dyDescent="0.3">
      <c r="C22" s="4"/>
      <c r="D22" s="4"/>
      <c r="M22" s="46"/>
      <c r="N22" s="48"/>
      <c r="Q22" s="48"/>
      <c r="T22" s="48"/>
      <c r="U22" s="48"/>
      <c r="W22" s="57"/>
    </row>
    <row r="23" spans="1:44" x14ac:dyDescent="0.3">
      <c r="N23" s="48"/>
      <c r="Q23" s="48"/>
      <c r="T23" s="57"/>
      <c r="U23" s="48"/>
      <c r="V23" s="48"/>
      <c r="AA23" s="57"/>
    </row>
    <row r="24" spans="1:44" x14ac:dyDescent="0.3">
      <c r="A24" s="8" t="s">
        <v>196</v>
      </c>
      <c r="B24" s="8"/>
      <c r="C24" s="8"/>
      <c r="D24" s="8"/>
      <c r="E24" s="8"/>
      <c r="F24" s="8"/>
      <c r="G24" s="8"/>
      <c r="H24" s="8"/>
      <c r="I24" s="99"/>
      <c r="J24" s="8"/>
      <c r="K24" s="107"/>
      <c r="N24" s="48"/>
      <c r="P24" s="57"/>
      <c r="Q24" s="57"/>
      <c r="R24" s="57"/>
      <c r="S24" s="57"/>
      <c r="T24" s="57"/>
      <c r="U24" s="48"/>
      <c r="V24" s="48"/>
      <c r="AA24" s="57"/>
      <c r="AB24" s="57"/>
    </row>
    <row r="25" spans="1:44" x14ac:dyDescent="0.3">
      <c r="A25" s="8"/>
      <c r="B25" s="8"/>
      <c r="C25" s="8" t="s">
        <v>18</v>
      </c>
      <c r="D25" s="8"/>
      <c r="E25" s="8" t="s">
        <v>19</v>
      </c>
      <c r="F25" s="8" t="s">
        <v>175</v>
      </c>
      <c r="G25" s="8" t="s">
        <v>175</v>
      </c>
      <c r="H25" s="8" t="s">
        <v>195</v>
      </c>
      <c r="I25" s="99" t="s">
        <v>20</v>
      </c>
      <c r="J25" s="8" t="s">
        <v>211</v>
      </c>
      <c r="K25" s="8" t="s">
        <v>212</v>
      </c>
      <c r="L25" s="4"/>
      <c r="O25" s="57"/>
      <c r="P25" s="58"/>
      <c r="Q25" s="57"/>
      <c r="R25" s="57"/>
      <c r="S25" s="56"/>
      <c r="T25" s="57"/>
      <c r="U25" s="57"/>
      <c r="V25" s="57"/>
      <c r="AA25" s="57"/>
      <c r="AB25" s="57"/>
    </row>
    <row r="26" spans="1:44" x14ac:dyDescent="0.3">
      <c r="A26" s="8"/>
      <c r="B26" s="8"/>
      <c r="C26" s="8" t="s">
        <v>21</v>
      </c>
      <c r="D26" s="8"/>
      <c r="E26" s="8" t="s">
        <v>22</v>
      </c>
      <c r="F26" s="8" t="s">
        <v>23</v>
      </c>
      <c r="G26" s="8" t="s">
        <v>24</v>
      </c>
      <c r="H26" s="8"/>
      <c r="I26" s="99" t="s">
        <v>25</v>
      </c>
      <c r="J26" s="107"/>
      <c r="K26" s="8"/>
      <c r="M26" s="57"/>
      <c r="N26" s="57"/>
      <c r="O26" s="57"/>
      <c r="P26" s="59"/>
      <c r="Q26" s="56"/>
      <c r="R26" s="56"/>
      <c r="S26" s="56"/>
      <c r="T26" s="57"/>
      <c r="U26" s="62"/>
      <c r="V26" s="57"/>
      <c r="AA26" s="57"/>
      <c r="AB26" s="57"/>
    </row>
    <row r="27" spans="1:44" x14ac:dyDescent="0.3">
      <c r="A27" s="8"/>
      <c r="B27" s="8"/>
      <c r="C27" s="8" t="s">
        <v>26</v>
      </c>
      <c r="D27" s="8" t="s">
        <v>27</v>
      </c>
      <c r="E27" s="8" t="s">
        <v>28</v>
      </c>
      <c r="F27" s="8" t="s">
        <v>29</v>
      </c>
      <c r="G27" s="8" t="s">
        <v>30</v>
      </c>
      <c r="H27" s="8" t="s">
        <v>31</v>
      </c>
      <c r="I27" s="99" t="s">
        <v>32</v>
      </c>
      <c r="J27" s="107"/>
      <c r="K27" s="8"/>
      <c r="M27" s="57"/>
      <c r="O27" s="57"/>
      <c r="P27" s="60"/>
      <c r="Q27" s="56"/>
      <c r="R27" s="56"/>
      <c r="S27" s="56"/>
      <c r="T27" s="57"/>
      <c r="U27" s="57"/>
      <c r="V27" s="57"/>
      <c r="Y27" s="57"/>
      <c r="AA27" s="57"/>
      <c r="AB27" s="57"/>
      <c r="AE27" s="57"/>
    </row>
    <row r="28" spans="1:44" ht="15" thickBot="1" x14ac:dyDescent="0.35">
      <c r="A28" s="8" t="s">
        <v>33</v>
      </c>
      <c r="B28" s="81" t="s">
        <v>34</v>
      </c>
      <c r="C28" s="81" t="s">
        <v>35</v>
      </c>
      <c r="D28" s="81"/>
      <c r="E28" s="81"/>
      <c r="F28" s="81" t="s">
        <v>36</v>
      </c>
      <c r="G28" s="81" t="s">
        <v>37</v>
      </c>
      <c r="H28" s="81" t="s">
        <v>38</v>
      </c>
      <c r="I28" s="106" t="s">
        <v>39</v>
      </c>
      <c r="J28" s="108"/>
      <c r="K28" s="81"/>
      <c r="O28" s="57"/>
      <c r="P28" s="60"/>
      <c r="Q28" s="56"/>
      <c r="R28" s="56"/>
      <c r="S28" s="56"/>
      <c r="T28" s="57"/>
      <c r="U28" s="57"/>
      <c r="V28" s="57"/>
      <c r="Y28" s="57"/>
      <c r="AA28" s="57"/>
      <c r="AB28" s="57"/>
    </row>
    <row r="29" spans="1:44" ht="15.6" thickTop="1" thickBot="1" x14ac:dyDescent="0.35">
      <c r="A29" s="8" t="s">
        <v>40</v>
      </c>
      <c r="B29" s="82">
        <f>'[1]Model Parameters'!C62</f>
        <v>0.72040000000000004</v>
      </c>
      <c r="C29" s="82">
        <v>60.08</v>
      </c>
      <c r="D29" s="83">
        <f>J17</f>
        <v>0.7040336747046082</v>
      </c>
      <c r="E29" s="84">
        <f>D29/$D$40</f>
        <v>0.7040336747046082</v>
      </c>
      <c r="F29" s="82">
        <v>26.9</v>
      </c>
      <c r="G29" s="82">
        <v>0</v>
      </c>
      <c r="H29" s="82">
        <v>-1.66</v>
      </c>
      <c r="I29" s="112">
        <f>(F29*10^-6)+((G29*10^-9)*($B$2-1673))+(H29*10^-6*$B$3)</f>
        <v>2.6567999999999997E-5</v>
      </c>
      <c r="J29" s="82">
        <f>E29*C29</f>
        <v>42.298343176252857</v>
      </c>
      <c r="K29" s="109">
        <f>E29*I29</f>
        <v>1.8704766669552028E-5</v>
      </c>
      <c r="M29" s="111"/>
      <c r="O29" s="57"/>
      <c r="P29" s="63"/>
      <c r="Q29" s="61"/>
      <c r="R29" s="61"/>
      <c r="S29" s="61"/>
      <c r="T29" s="57"/>
      <c r="U29" s="57"/>
      <c r="V29" s="57"/>
      <c r="W29" s="57"/>
      <c r="X29" s="29"/>
    </row>
    <row r="30" spans="1:44" ht="15" thickTop="1" x14ac:dyDescent="0.3">
      <c r="A30" s="8" t="s">
        <v>41</v>
      </c>
      <c r="B30" s="85">
        <f>'[1]Model Parameters'!C60</f>
        <v>2.9999999999999997E-4</v>
      </c>
      <c r="C30" s="85">
        <v>79.87</v>
      </c>
      <c r="D30" s="86">
        <f>J15</f>
        <v>0</v>
      </c>
      <c r="E30" s="87">
        <f t="shared" ref="E30:E38" si="7">D30/$D$40</f>
        <v>0</v>
      </c>
      <c r="F30" s="85">
        <v>23.16</v>
      </c>
      <c r="G30" s="85">
        <v>7.24</v>
      </c>
      <c r="H30" s="85">
        <v>-2.2000000000000002</v>
      </c>
      <c r="I30" s="113">
        <f t="shared" ref="I30:I39" si="8">(F30*10^-6)+((G30*10^-9)*($B$2-1673))+(H30*10^-6*$B$3)</f>
        <v>1.7783406E-5</v>
      </c>
      <c r="J30" s="85">
        <f t="shared" ref="J30:J39" si="9">E30*C30</f>
        <v>0</v>
      </c>
      <c r="K30" s="2">
        <f t="shared" ref="K30:K39" si="10">E30*I30</f>
        <v>0</v>
      </c>
      <c r="M30" s="57"/>
      <c r="O30" s="57"/>
      <c r="P30" s="63"/>
      <c r="Q30" s="61"/>
      <c r="R30" s="61"/>
      <c r="S30" s="61"/>
      <c r="T30" s="57"/>
      <c r="W30" s="57"/>
      <c r="Z30" s="57"/>
      <c r="AH30" s="57"/>
      <c r="AI30" s="57"/>
      <c r="AJ30" s="57"/>
      <c r="AK30" s="57"/>
      <c r="AM30" s="57"/>
      <c r="AN30" s="57"/>
      <c r="AO30" s="57"/>
      <c r="AP30" s="57"/>
      <c r="AQ30" s="57"/>
      <c r="AR30" s="57"/>
    </row>
    <row r="31" spans="1:44" x14ac:dyDescent="0.3">
      <c r="A31" s="8" t="s">
        <v>42</v>
      </c>
      <c r="B31" s="8">
        <f>'[1]Model Parameters'!C61</f>
        <v>0.14419999999999999</v>
      </c>
      <c r="C31" s="8">
        <v>101.96</v>
      </c>
      <c r="D31" s="89">
        <f>J16</f>
        <v>6.8831871663040903E-2</v>
      </c>
      <c r="E31" s="90">
        <f t="shared" si="7"/>
        <v>6.8831871663040903E-2</v>
      </c>
      <c r="F31" s="8">
        <v>37.11</v>
      </c>
      <c r="G31" s="8">
        <v>2.62</v>
      </c>
      <c r="H31" s="8">
        <v>-2.2200000000000002</v>
      </c>
      <c r="I31" s="114">
        <f t="shared" si="8"/>
        <v>3.4879552999999995E-5</v>
      </c>
      <c r="J31" s="8">
        <f t="shared" si="9"/>
        <v>7.0180976347636497</v>
      </c>
      <c r="K31" s="107">
        <f t="shared" si="10"/>
        <v>2.400824915760233E-6</v>
      </c>
      <c r="M31" s="57"/>
      <c r="O31" s="57"/>
      <c r="P31" s="63"/>
      <c r="Q31" s="57"/>
      <c r="R31" s="57"/>
      <c r="S31" s="57"/>
      <c r="T31" s="57"/>
      <c r="W31" s="57"/>
      <c r="Z31" s="57"/>
      <c r="AF31" s="57"/>
      <c r="AG31" s="57"/>
      <c r="AH31" s="57"/>
      <c r="AI31" s="57"/>
      <c r="AJ31" s="57"/>
      <c r="AK31" s="57"/>
      <c r="AM31" s="57"/>
      <c r="AN31" s="57"/>
      <c r="AO31" s="57"/>
      <c r="AP31" s="57"/>
      <c r="AQ31" s="57"/>
      <c r="AR31" s="57"/>
    </row>
    <row r="32" spans="1:44" ht="15" thickBot="1" x14ac:dyDescent="0.35">
      <c r="A32" s="8" t="s">
        <v>43</v>
      </c>
      <c r="B32" s="81">
        <f>'[1]Model Parameters'!C63</f>
        <v>1.2200000000000001E-2</v>
      </c>
      <c r="C32" s="81">
        <v>159.69</v>
      </c>
      <c r="D32" s="91">
        <f>J18</f>
        <v>0</v>
      </c>
      <c r="E32" s="47">
        <f t="shared" si="7"/>
        <v>0</v>
      </c>
      <c r="F32" s="81">
        <v>42.13</v>
      </c>
      <c r="G32" s="81">
        <v>9.09</v>
      </c>
      <c r="H32" s="81">
        <v>-2.5299999999999998</v>
      </c>
      <c r="I32" s="115">
        <f t="shared" si="8"/>
        <v>3.5425983500000001E-5</v>
      </c>
      <c r="J32" s="95">
        <f t="shared" si="9"/>
        <v>0</v>
      </c>
      <c r="K32" s="110">
        <f t="shared" si="10"/>
        <v>0</v>
      </c>
      <c r="M32" s="57"/>
      <c r="O32" s="57"/>
      <c r="P32" s="63"/>
      <c r="Q32" s="57"/>
      <c r="R32" s="57"/>
      <c r="S32" s="57"/>
      <c r="T32" s="57"/>
      <c r="V32" s="57"/>
      <c r="AA32" s="7"/>
      <c r="AF32" s="57"/>
      <c r="AG32" s="57"/>
      <c r="AH32" s="57"/>
      <c r="AI32" s="57"/>
      <c r="AJ32" s="57"/>
      <c r="AK32" s="57"/>
      <c r="AM32" s="57"/>
      <c r="AN32" s="57"/>
      <c r="AO32" s="57"/>
      <c r="AP32" s="57"/>
      <c r="AQ32" s="57"/>
      <c r="AR32" s="57"/>
    </row>
    <row r="33" spans="1:44" ht="15" thickTop="1" x14ac:dyDescent="0.3">
      <c r="A33" s="8" t="s">
        <v>44</v>
      </c>
      <c r="B33" s="92">
        <f>'[1]Model Parameters'!C64</f>
        <v>1.6799999999999999E-2</v>
      </c>
      <c r="C33" s="92">
        <v>71.84</v>
      </c>
      <c r="D33" s="93">
        <f>J19</f>
        <v>0</v>
      </c>
      <c r="E33" s="94">
        <f t="shared" si="7"/>
        <v>0</v>
      </c>
      <c r="F33" s="92">
        <v>13.65</v>
      </c>
      <c r="G33" s="92">
        <v>2.92</v>
      </c>
      <c r="H33" s="92">
        <v>-0.54</v>
      </c>
      <c r="I33" s="113">
        <f t="shared" si="8"/>
        <v>1.1550998E-5</v>
      </c>
      <c r="J33" s="85">
        <f t="shared" si="9"/>
        <v>0</v>
      </c>
      <c r="K33" s="2">
        <f t="shared" si="10"/>
        <v>0</v>
      </c>
      <c r="M33" s="57"/>
      <c r="N33" s="57"/>
      <c r="O33" s="57"/>
      <c r="P33" s="57"/>
      <c r="Q33" s="57"/>
      <c r="R33" s="57"/>
      <c r="S33" s="57"/>
      <c r="T33" s="57"/>
      <c r="V33" s="57"/>
      <c r="AA33" s="7"/>
      <c r="AF33" s="57"/>
      <c r="AG33" s="57"/>
      <c r="AH33" s="57"/>
      <c r="AJ33" s="57"/>
      <c r="AK33" s="57"/>
      <c r="AM33" s="57"/>
      <c r="AN33" s="57"/>
      <c r="AO33" s="57"/>
      <c r="AP33" s="57"/>
      <c r="AQ33" s="57"/>
      <c r="AR33" s="57"/>
    </row>
    <row r="34" spans="1:44" x14ac:dyDescent="0.3">
      <c r="A34" s="8" t="s">
        <v>45</v>
      </c>
      <c r="B34" s="8"/>
      <c r="C34" s="8">
        <v>70.94</v>
      </c>
      <c r="D34" s="89"/>
      <c r="E34" s="90">
        <f t="shared" si="7"/>
        <v>0</v>
      </c>
      <c r="F34" s="8">
        <v>13.94</v>
      </c>
      <c r="G34" s="8">
        <v>2.92</v>
      </c>
      <c r="H34" s="8">
        <v>-0.45</v>
      </c>
      <c r="I34" s="114">
        <f t="shared" si="8"/>
        <v>1.1858997999999997E-5</v>
      </c>
      <c r="J34" s="8">
        <f t="shared" si="9"/>
        <v>0</v>
      </c>
      <c r="K34" s="107">
        <f t="shared" si="10"/>
        <v>0</v>
      </c>
      <c r="V34" s="48"/>
      <c r="AA34" s="7"/>
      <c r="AF34" s="57"/>
      <c r="AG34" s="57"/>
      <c r="AH34" s="57"/>
      <c r="AJ34" s="57"/>
      <c r="AK34" s="57"/>
      <c r="AM34" s="57"/>
      <c r="AN34" s="57"/>
      <c r="AO34" s="57"/>
      <c r="AP34" s="57"/>
      <c r="AQ34" s="57"/>
      <c r="AR34" s="57"/>
    </row>
    <row r="35" spans="1:44" x14ac:dyDescent="0.3">
      <c r="A35" s="8" t="s">
        <v>46</v>
      </c>
      <c r="B35" s="8">
        <f>'[1]Model Parameters'!C56</f>
        <v>7.1000000000000004E-3</v>
      </c>
      <c r="C35" s="8">
        <v>40.299999999999997</v>
      </c>
      <c r="D35" s="89">
        <f>J11</f>
        <v>0</v>
      </c>
      <c r="E35" s="90">
        <f t="shared" si="7"/>
        <v>0</v>
      </c>
      <c r="F35" s="8">
        <v>11.45</v>
      </c>
      <c r="G35" s="8">
        <v>2.62</v>
      </c>
      <c r="H35" s="8">
        <v>0.2</v>
      </c>
      <c r="I35" s="114">
        <f t="shared" si="8"/>
        <v>9.7035529999999978E-6</v>
      </c>
      <c r="J35" s="8">
        <f t="shared" si="9"/>
        <v>0</v>
      </c>
      <c r="K35" s="107">
        <f t="shared" si="10"/>
        <v>0</v>
      </c>
      <c r="V35" s="48"/>
      <c r="AA35" s="7"/>
      <c r="AK35" s="57"/>
    </row>
    <row r="36" spans="1:44" x14ac:dyDescent="0.3">
      <c r="A36" s="8" t="s">
        <v>47</v>
      </c>
      <c r="B36" s="8">
        <f>'[1]Model Parameters'!C55</f>
        <v>1.8200000000000001E-2</v>
      </c>
      <c r="C36" s="8">
        <v>56.08</v>
      </c>
      <c r="D36" s="89">
        <f>J10</f>
        <v>0</v>
      </c>
      <c r="E36" s="90">
        <f t="shared" si="7"/>
        <v>0</v>
      </c>
      <c r="F36" s="8">
        <v>16.57</v>
      </c>
      <c r="G36" s="8">
        <v>2.92</v>
      </c>
      <c r="H36" s="8">
        <v>0.06</v>
      </c>
      <c r="I36" s="114">
        <f t="shared" si="8"/>
        <v>1.4590997999999998E-5</v>
      </c>
      <c r="J36" s="8">
        <f t="shared" si="9"/>
        <v>0</v>
      </c>
      <c r="K36" s="107">
        <f t="shared" si="10"/>
        <v>0</v>
      </c>
      <c r="V36" s="57"/>
    </row>
    <row r="37" spans="1:44" x14ac:dyDescent="0.3">
      <c r="A37" s="8" t="s">
        <v>48</v>
      </c>
      <c r="B37" s="8">
        <f>'[1]Model Parameters'!C58</f>
        <v>3.6900000000000002E-2</v>
      </c>
      <c r="C37" s="8">
        <v>61.98</v>
      </c>
      <c r="D37" s="89">
        <f>J13</f>
        <v>4.1260681025636903E-2</v>
      </c>
      <c r="E37" s="90">
        <f t="shared" si="7"/>
        <v>4.1260681025636903E-2</v>
      </c>
      <c r="F37" s="8">
        <v>28.78</v>
      </c>
      <c r="G37" s="8">
        <v>7.41</v>
      </c>
      <c r="H37" s="8">
        <v>-2.81</v>
      </c>
      <c r="I37" s="114">
        <f t="shared" si="8"/>
        <v>2.31654915E-5</v>
      </c>
      <c r="J37" s="8">
        <f t="shared" si="9"/>
        <v>2.557337009968975</v>
      </c>
      <c r="K37" s="107">
        <f t="shared" si="10"/>
        <v>9.5582395558360294E-7</v>
      </c>
      <c r="V37" s="57"/>
    </row>
    <row r="38" spans="1:44" x14ac:dyDescent="0.3">
      <c r="A38" s="8" t="s">
        <v>49</v>
      </c>
      <c r="B38" s="8">
        <f>'[1]Model Parameters'!C57</f>
        <v>4.1200000000000001E-2</v>
      </c>
      <c r="C38" s="8">
        <v>94.2</v>
      </c>
      <c r="D38" s="89">
        <f>J12</f>
        <v>2.6917012235629565E-2</v>
      </c>
      <c r="E38" s="90">
        <f t="shared" si="7"/>
        <v>2.6917012235629565E-2</v>
      </c>
      <c r="F38" s="8">
        <v>45.84</v>
      </c>
      <c r="G38" s="8">
        <v>11.91</v>
      </c>
      <c r="H38" s="8">
        <v>-7.2</v>
      </c>
      <c r="I38" s="114">
        <f t="shared" si="8"/>
        <v>3.6279166500000002E-5</v>
      </c>
      <c r="J38" s="8">
        <f t="shared" si="9"/>
        <v>2.5355825525963049</v>
      </c>
      <c r="K38" s="107">
        <f t="shared" si="10"/>
        <v>9.7652676857894236E-7</v>
      </c>
    </row>
    <row r="39" spans="1:44" x14ac:dyDescent="0.3">
      <c r="A39" s="8" t="s">
        <v>50</v>
      </c>
      <c r="B39" s="81">
        <f>'[1]Model Parameters'!C65</f>
        <v>7.0000000000000007E-2</v>
      </c>
      <c r="C39" s="81">
        <v>18.015280000000001</v>
      </c>
      <c r="D39" s="91">
        <f>J20</f>
        <v>0.15895676037108439</v>
      </c>
      <c r="E39" s="47">
        <f>D39/$D$40</f>
        <v>0.15895676037108439</v>
      </c>
      <c r="F39" s="81">
        <v>22.9</v>
      </c>
      <c r="G39" s="81">
        <v>9.5</v>
      </c>
      <c r="H39" s="81">
        <v>-3.2</v>
      </c>
      <c r="I39" s="114">
        <f t="shared" si="8"/>
        <v>1.5782424999999995E-5</v>
      </c>
      <c r="J39" s="8">
        <f t="shared" si="9"/>
        <v>2.8636505459779893</v>
      </c>
      <c r="K39" s="107">
        <f t="shared" si="10"/>
        <v>2.5087231487996109E-6</v>
      </c>
    </row>
    <row r="40" spans="1:44" ht="15" thickBot="1" x14ac:dyDescent="0.35">
      <c r="A40" s="8" t="s">
        <v>51</v>
      </c>
      <c r="B40" s="95">
        <f>SUM(B29:B39)</f>
        <v>1.0673000000000001</v>
      </c>
      <c r="C40" s="8"/>
      <c r="D40" s="96">
        <f>SUM(D29:D39)</f>
        <v>1</v>
      </c>
      <c r="E40" s="97">
        <f>SUM(E29:E39)</f>
        <v>1</v>
      </c>
      <c r="F40" s="8"/>
      <c r="G40" s="8"/>
      <c r="H40" s="8"/>
      <c r="I40" s="99"/>
      <c r="J40" s="8"/>
      <c r="K40" s="107"/>
    </row>
    <row r="41" spans="1:44" ht="15.6" thickTop="1" thickBot="1" x14ac:dyDescent="0.35">
      <c r="A41" s="8"/>
      <c r="B41" s="98"/>
      <c r="C41" s="8"/>
      <c r="D41" s="85"/>
      <c r="E41" s="85"/>
      <c r="F41" s="8"/>
      <c r="G41" s="8"/>
      <c r="H41" s="8"/>
      <c r="I41" s="99"/>
      <c r="J41" s="8"/>
      <c r="K41" s="107"/>
      <c r="L41" s="66"/>
    </row>
    <row r="42" spans="1:44" ht="15.6" thickTop="1" thickBot="1" x14ac:dyDescent="0.35">
      <c r="A42" s="8" t="s">
        <v>52</v>
      </c>
      <c r="B42" s="88">
        <f>(SUM(J29:J39)/(SUM(K29:K39)))/1000</f>
        <v>2241.8977151090135</v>
      </c>
      <c r="C42" s="8"/>
      <c r="D42" s="8"/>
      <c r="E42" s="8"/>
      <c r="F42" s="8"/>
      <c r="G42" s="8"/>
      <c r="H42" s="8"/>
      <c r="I42" s="99"/>
      <c r="J42" s="8"/>
      <c r="K42" s="107"/>
    </row>
    <row r="43" spans="1:44" ht="15" thickBot="1" x14ac:dyDescent="0.35">
      <c r="A43" s="99" t="s">
        <v>53</v>
      </c>
      <c r="B43" s="100">
        <f>B4/B42</f>
        <v>9999.9998475690918</v>
      </c>
      <c r="C43" s="90"/>
      <c r="D43" s="8"/>
      <c r="E43" s="8"/>
      <c r="F43" s="8"/>
      <c r="G43" s="8"/>
      <c r="H43" s="8"/>
      <c r="I43" s="99"/>
      <c r="J43" s="8"/>
      <c r="K43" s="107"/>
    </row>
    <row r="44" spans="1:44" x14ac:dyDescent="0.3">
      <c r="R44" s="57"/>
    </row>
    <row r="45" spans="1:44" x14ac:dyDescent="0.3">
      <c r="R45" s="57"/>
    </row>
    <row r="46" spans="1:44" x14ac:dyDescent="0.3">
      <c r="R46" s="57"/>
    </row>
    <row r="47" spans="1:44" x14ac:dyDescent="0.3">
      <c r="E47" s="9"/>
      <c r="R47" s="57"/>
    </row>
    <row r="48" spans="1:44" x14ac:dyDescent="0.3">
      <c r="E48" s="9"/>
    </row>
    <row r="49" spans="18:18" x14ac:dyDescent="0.3">
      <c r="R49" s="57"/>
    </row>
    <row r="50" spans="18:18" x14ac:dyDescent="0.3">
      <c r="R50" s="57"/>
    </row>
    <row r="51" spans="18:18" x14ac:dyDescent="0.3">
      <c r="R51" s="5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66635-58B1-4852-BEAC-490A9CF5B4FB}">
  <dimension ref="A1:H20"/>
  <sheetViews>
    <sheetView workbookViewId="0">
      <selection activeCell="G7" sqref="G7"/>
    </sheetView>
  </sheetViews>
  <sheetFormatPr defaultRowHeight="14.4" x14ac:dyDescent="0.3"/>
  <cols>
    <col min="1" max="1" width="19.44140625" customWidth="1"/>
    <col min="2" max="2" width="12" bestFit="1" customWidth="1"/>
    <col min="3" max="3" width="12.6640625" bestFit="1" customWidth="1"/>
    <col min="4" max="4" width="12" bestFit="1" customWidth="1"/>
    <col min="5" max="5" width="16.33203125" bestFit="1" customWidth="1"/>
    <col min="6" max="6" width="11" bestFit="1" customWidth="1"/>
    <col min="7" max="7" width="19.44140625" bestFit="1" customWidth="1"/>
    <col min="8" max="9" width="12" bestFit="1" customWidth="1"/>
  </cols>
  <sheetData>
    <row r="1" spans="1:8" x14ac:dyDescent="0.3">
      <c r="A1" s="7" t="s">
        <v>151</v>
      </c>
    </row>
    <row r="2" spans="1:8" x14ac:dyDescent="0.3">
      <c r="A2" t="s">
        <v>74</v>
      </c>
      <c r="B2">
        <f>'[1]Model Parameters'!A3</f>
        <v>2500</v>
      </c>
      <c r="C2" t="s">
        <v>5</v>
      </c>
      <c r="D2">
        <f>Overview!E21</f>
        <v>1</v>
      </c>
    </row>
    <row r="3" spans="1:8" x14ac:dyDescent="0.3">
      <c r="A3" t="s">
        <v>62</v>
      </c>
      <c r="B3">
        <f>Overview!E23*0.001</f>
        <v>0.2</v>
      </c>
      <c r="C3" t="s">
        <v>60</v>
      </c>
      <c r="D3">
        <f>'Melt Properties'!E2</f>
        <v>22418976.809355631</v>
      </c>
    </row>
    <row r="4" spans="1:8" x14ac:dyDescent="0.3">
      <c r="A4" t="s">
        <v>75</v>
      </c>
      <c r="B4" s="9">
        <v>6.0221409000000001E+23</v>
      </c>
      <c r="C4" t="s">
        <v>90</v>
      </c>
      <c r="D4" s="5">
        <f>Overview!H18</f>
        <v>1120948.8404677815</v>
      </c>
    </row>
    <row r="5" spans="1:8" x14ac:dyDescent="0.3">
      <c r="A5" t="s">
        <v>61</v>
      </c>
      <c r="B5">
        <f>Overview!E22+273.15</f>
        <v>991.15</v>
      </c>
      <c r="G5" s="3"/>
    </row>
    <row r="6" spans="1:8" x14ac:dyDescent="0.3">
      <c r="A6" s="118" t="s">
        <v>76</v>
      </c>
      <c r="B6" s="119"/>
      <c r="C6" s="119"/>
      <c r="D6" s="119"/>
      <c r="E6" s="119"/>
      <c r="F6" s="120"/>
      <c r="G6" s="71"/>
      <c r="H6" s="71"/>
    </row>
    <row r="7" spans="1:8" x14ac:dyDescent="0.3">
      <c r="A7" s="116" t="s">
        <v>12</v>
      </c>
      <c r="B7" s="117"/>
      <c r="C7" s="116" t="s">
        <v>14</v>
      </c>
      <c r="D7" s="117"/>
      <c r="E7" s="116" t="s">
        <v>13</v>
      </c>
      <c r="F7" s="117"/>
      <c r="G7" s="73"/>
      <c r="H7" s="71"/>
    </row>
    <row r="8" spans="1:8" x14ac:dyDescent="0.3">
      <c r="A8" s="10" t="s">
        <v>188</v>
      </c>
      <c r="B8" s="11">
        <f xml:space="preserve"> 0.000006*B3^4  -0.0002*B3^3 + 0.0027*B3^2 -0.0349*B3 + 1.009</f>
        <v>1.0021264096</v>
      </c>
      <c r="C8" s="10"/>
      <c r="D8" s="11"/>
      <c r="E8" s="10"/>
      <c r="F8" s="11"/>
      <c r="H8" s="4"/>
    </row>
    <row r="9" spans="1:8" x14ac:dyDescent="0.3">
      <c r="A9" s="10" t="s">
        <v>187</v>
      </c>
      <c r="B9" s="11">
        <v>113</v>
      </c>
      <c r="D9" s="11"/>
      <c r="F9" s="11"/>
      <c r="H9" s="4"/>
    </row>
    <row r="10" spans="1:8" x14ac:dyDescent="0.3">
      <c r="A10" s="10" t="s">
        <v>77</v>
      </c>
      <c r="B10" s="11">
        <f>B9*B8</f>
        <v>113.2402842848</v>
      </c>
      <c r="C10" s="10" t="s">
        <v>189</v>
      </c>
      <c r="D10" s="11">
        <f xml:space="preserve"> -0.054*B3^3 + 0.8206*B3^2 - 12.58*B3 + 664.89</f>
        <v>662.40639199999998</v>
      </c>
      <c r="E10" s="10" t="s">
        <v>190</v>
      </c>
      <c r="F10" s="11">
        <f>0.3213*(B3)^2 - 11.956*B3 + 719.87</f>
        <v>717.49165200000004</v>
      </c>
      <c r="G10" s="10"/>
      <c r="H10" s="4"/>
    </row>
    <row r="11" spans="1:8" x14ac:dyDescent="0.3">
      <c r="A11" s="10" t="s">
        <v>78</v>
      </c>
      <c r="B11" s="11">
        <v>3</v>
      </c>
      <c r="C11" s="10" t="s">
        <v>78</v>
      </c>
      <c r="D11" s="11">
        <v>4</v>
      </c>
      <c r="E11" s="10" t="s">
        <v>79</v>
      </c>
      <c r="F11" s="11">
        <v>4</v>
      </c>
      <c r="G11" s="10"/>
      <c r="H11" s="4"/>
    </row>
    <row r="12" spans="1:8" x14ac:dyDescent="0.3">
      <c r="A12" s="10" t="s">
        <v>80</v>
      </c>
      <c r="B12" s="12">
        <f>B4*B10/B11*10^-30</f>
        <v>2.273163158397071E-5</v>
      </c>
      <c r="C12" s="10" t="s">
        <v>80</v>
      </c>
      <c r="D12" s="12">
        <f>B4*D10/D11*10^-30</f>
        <v>9.9727615642115807E-5</v>
      </c>
      <c r="E12" s="10" t="s">
        <v>80</v>
      </c>
      <c r="F12" s="12">
        <f>B4*F10/F11*10^-30</f>
        <v>1.0802089557294416E-4</v>
      </c>
      <c r="G12" s="10"/>
      <c r="H12" s="64"/>
    </row>
    <row r="13" spans="1:8" x14ac:dyDescent="0.3">
      <c r="A13" s="10" t="s">
        <v>56</v>
      </c>
      <c r="B13" s="11">
        <f>(D3-D4)*1000 * (1-D2)*0.51</f>
        <v>0</v>
      </c>
      <c r="C13" s="10" t="s">
        <v>81</v>
      </c>
      <c r="D13" s="11">
        <f>(D3-D4)*1000 * (1-D2)*0.11</f>
        <v>0</v>
      </c>
      <c r="E13" s="10" t="s">
        <v>81</v>
      </c>
      <c r="F13" s="11">
        <f>(D3-D4)*1000 * (1-D2)*0.34</f>
        <v>0</v>
      </c>
      <c r="G13" s="10"/>
      <c r="H13" s="4"/>
    </row>
    <row r="14" spans="1:8" x14ac:dyDescent="0.3">
      <c r="A14" s="10" t="s">
        <v>54</v>
      </c>
      <c r="B14">
        <v>60.08</v>
      </c>
      <c r="C14" s="10" t="s">
        <v>82</v>
      </c>
      <c r="D14" s="11">
        <v>263.02</v>
      </c>
      <c r="E14" s="10" t="s">
        <v>82</v>
      </c>
      <c r="F14" s="11">
        <v>277.41000000000003</v>
      </c>
      <c r="G14" s="10"/>
      <c r="H14" s="4"/>
    </row>
    <row r="15" spans="1:8" ht="15" thickBot="1" x14ac:dyDescent="0.35">
      <c r="A15" s="10" t="s">
        <v>83</v>
      </c>
      <c r="B15">
        <f>B13/B14</f>
        <v>0</v>
      </c>
      <c r="C15" s="13" t="s">
        <v>83</v>
      </c>
      <c r="D15" s="14">
        <f>D13/D14</f>
        <v>0</v>
      </c>
      <c r="E15" s="10" t="s">
        <v>83</v>
      </c>
      <c r="F15" s="14">
        <f>F13/F14</f>
        <v>0</v>
      </c>
      <c r="G15" s="10"/>
      <c r="H15" s="4"/>
    </row>
    <row r="16" spans="1:8" ht="15" thickBot="1" x14ac:dyDescent="0.35">
      <c r="A16" s="15" t="s">
        <v>84</v>
      </c>
      <c r="B16" s="16">
        <f>B15*B12</f>
        <v>0</v>
      </c>
      <c r="C16" s="17" t="s">
        <v>85</v>
      </c>
      <c r="D16" s="16">
        <f>D15*D12</f>
        <v>0</v>
      </c>
      <c r="E16" s="17" t="s">
        <v>86</v>
      </c>
      <c r="F16" s="75">
        <f>F15*F12</f>
        <v>0</v>
      </c>
      <c r="G16" s="74"/>
      <c r="H16" s="74"/>
    </row>
    <row r="17" spans="1:8" ht="15" thickBot="1" x14ac:dyDescent="0.35">
      <c r="G17" s="4"/>
      <c r="H17" s="4"/>
    </row>
    <row r="18" spans="1:8" s="67" customFormat="1" ht="15" thickBot="1" x14ac:dyDescent="0.35">
      <c r="A18" s="101" t="s">
        <v>51</v>
      </c>
      <c r="B18" s="102"/>
      <c r="C18" s="102"/>
      <c r="D18" s="102"/>
      <c r="E18" s="102"/>
      <c r="F18" s="103">
        <f>H16+F16+D16+B16</f>
        <v>0</v>
      </c>
      <c r="G18" s="3"/>
      <c r="H18" s="3"/>
    </row>
    <row r="19" spans="1:8" x14ac:dyDescent="0.3">
      <c r="A19" t="s">
        <v>87</v>
      </c>
      <c r="B19" s="5">
        <f>IFERROR(B13/B16/1000,0)</f>
        <v>0</v>
      </c>
      <c r="D19" s="5">
        <f>IFERROR(D13/D16/1000,0)</f>
        <v>0</v>
      </c>
      <c r="E19" s="5"/>
      <c r="F19" s="5">
        <f>IFERROR(F13/F16/1000,0)</f>
        <v>0</v>
      </c>
      <c r="G19" s="5"/>
      <c r="H19" s="74"/>
    </row>
    <row r="20" spans="1:8" x14ac:dyDescent="0.3">
      <c r="A20" t="s">
        <v>88</v>
      </c>
      <c r="B20" s="5">
        <f>B19/1000</f>
        <v>0</v>
      </c>
      <c r="C20" s="5"/>
      <c r="D20" s="5">
        <f t="shared" ref="D20:F20" si="0">D19/1000</f>
        <v>0</v>
      </c>
      <c r="E20" s="5"/>
      <c r="F20" s="5">
        <f t="shared" si="0"/>
        <v>0</v>
      </c>
      <c r="G20" s="5"/>
      <c r="H20" s="5"/>
    </row>
  </sheetData>
  <mergeCells count="4">
    <mergeCell ref="A7:B7"/>
    <mergeCell ref="C7:D7"/>
    <mergeCell ref="E7:F7"/>
    <mergeCell ref="A6:F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1627A-1F97-4904-B75D-F8EB33CD5C88}">
  <dimension ref="A1:AE39"/>
  <sheetViews>
    <sheetView workbookViewId="0"/>
  </sheetViews>
  <sheetFormatPr defaultRowHeight="14.4" x14ac:dyDescent="0.3"/>
  <cols>
    <col min="1" max="1" width="20.77734375" bestFit="1" customWidth="1"/>
    <col min="2" max="2" width="12" bestFit="1" customWidth="1"/>
    <col min="4" max="4" width="18.77734375" bestFit="1" customWidth="1"/>
    <col min="5" max="6" width="12" bestFit="1" customWidth="1"/>
    <col min="7" max="7" width="10.77734375" customWidth="1"/>
    <col min="8" max="8" width="10.6640625" customWidth="1"/>
    <col min="9" max="9" width="9.88671875" customWidth="1"/>
    <col min="16" max="16" width="12" bestFit="1" customWidth="1"/>
    <col min="19" max="19" width="8.88671875" style="41"/>
    <col min="20" max="20" width="12.88671875" bestFit="1" customWidth="1"/>
    <col min="22" max="22" width="12" bestFit="1" customWidth="1"/>
    <col min="23" max="23" width="12.77734375" bestFit="1" customWidth="1"/>
    <col min="25" max="25" width="11" bestFit="1" customWidth="1"/>
    <col min="26" max="26" width="12.6640625" bestFit="1" customWidth="1"/>
    <col min="28" max="28" width="12.6640625" bestFit="1" customWidth="1"/>
  </cols>
  <sheetData>
    <row r="1" spans="1:31" x14ac:dyDescent="0.3">
      <c r="A1" s="7" t="s">
        <v>153</v>
      </c>
    </row>
    <row r="2" spans="1:31" x14ac:dyDescent="0.3">
      <c r="A2" t="s">
        <v>72</v>
      </c>
      <c r="B2">
        <f>Overview!E22</f>
        <v>718</v>
      </c>
      <c r="D2" s="105" t="s">
        <v>97</v>
      </c>
      <c r="E2" s="26">
        <f>Overview!H6</f>
        <v>5.8939999999999999E-2</v>
      </c>
      <c r="G2" s="116" t="s">
        <v>191</v>
      </c>
      <c r="H2" s="121"/>
      <c r="I2" s="121"/>
      <c r="J2" s="121"/>
      <c r="K2" s="117"/>
    </row>
    <row r="3" spans="1:31" x14ac:dyDescent="0.3">
      <c r="A3" t="s">
        <v>73</v>
      </c>
      <c r="B3">
        <f>Overview!E23</f>
        <v>200</v>
      </c>
      <c r="D3" s="2" t="s">
        <v>92</v>
      </c>
      <c r="E3" s="27">
        <f>(E2)*(B4-E4)</f>
        <v>1189237.0438290788</v>
      </c>
      <c r="G3" s="10" t="s">
        <v>156</v>
      </c>
      <c r="H3" s="4"/>
      <c r="I3" s="4"/>
      <c r="J3" s="4" t="s">
        <v>155</v>
      </c>
      <c r="K3" s="11"/>
    </row>
    <row r="4" spans="1:31" x14ac:dyDescent="0.3">
      <c r="A4" t="s">
        <v>133</v>
      </c>
      <c r="B4">
        <f>'Melt Properties'!E5</f>
        <v>21298027.968887851</v>
      </c>
      <c r="D4" s="10" t="s">
        <v>100</v>
      </c>
      <c r="E4" s="23">
        <f>B5*Overview!E21</f>
        <v>1120948.8404677815</v>
      </c>
      <c r="G4" s="10" t="s">
        <v>199</v>
      </c>
      <c r="H4" s="4">
        <f>B2</f>
        <v>718</v>
      </c>
      <c r="I4" s="4"/>
      <c r="J4" s="4" t="s">
        <v>199</v>
      </c>
      <c r="K4" s="11">
        <f>B2</f>
        <v>718</v>
      </c>
      <c r="T4" s="36"/>
    </row>
    <row r="5" spans="1:31" x14ac:dyDescent="0.3">
      <c r="A5" t="s">
        <v>99</v>
      </c>
      <c r="B5" s="24">
        <f>'Melt Properties'!E3</f>
        <v>1120948.8404677815</v>
      </c>
      <c r="D5" s="10"/>
      <c r="E5" s="1"/>
      <c r="G5" s="10" t="s">
        <v>73</v>
      </c>
      <c r="H5" s="4">
        <f>B3*10</f>
        <v>2000</v>
      </c>
      <c r="I5" s="4"/>
      <c r="J5" s="4" t="s">
        <v>73</v>
      </c>
      <c r="K5" s="11">
        <f>B3*10</f>
        <v>2000</v>
      </c>
    </row>
    <row r="6" spans="1:31" x14ac:dyDescent="0.3">
      <c r="A6" t="s">
        <v>54</v>
      </c>
      <c r="B6">
        <f>'Melt Properties'!B20</f>
        <v>18.015280000000001</v>
      </c>
      <c r="D6" s="10" t="s">
        <v>93</v>
      </c>
      <c r="E6" s="1">
        <f>IF((E9=0),0,(E9))</f>
        <v>0</v>
      </c>
      <c r="G6" s="10" t="s">
        <v>141</v>
      </c>
      <c r="H6" s="74">
        <f>(H10+H11*H4+H12*H5)/(1+H13*H4+H14*H5)</f>
        <v>-3.1777562756646209</v>
      </c>
      <c r="I6" s="4"/>
      <c r="J6" s="4" t="s">
        <v>141</v>
      </c>
      <c r="K6" s="21">
        <f>(K10+K11*K4+K12*K5)/(1+K13*K4+K14*K5)</f>
        <v>36.85696633580671</v>
      </c>
      <c r="M6" s="5"/>
    </row>
    <row r="7" spans="1:31" x14ac:dyDescent="0.3">
      <c r="D7" s="19" t="s">
        <v>94</v>
      </c>
      <c r="E7" s="2">
        <f>E6*1000/'Melt Properties'!B20</f>
        <v>0</v>
      </c>
      <c r="G7" s="10" t="s">
        <v>142</v>
      </c>
      <c r="H7" s="4">
        <f>H6/100000</f>
        <v>-3.1777562756646212E-5</v>
      </c>
      <c r="I7" s="4"/>
      <c r="J7" s="4" t="s">
        <v>142</v>
      </c>
      <c r="K7" s="11">
        <f>K6/100000</f>
        <v>3.6856966335806711E-4</v>
      </c>
    </row>
    <row r="8" spans="1:31" x14ac:dyDescent="0.3">
      <c r="A8" t="s">
        <v>154</v>
      </c>
      <c r="B8" t="str">
        <f>Overview!H22</f>
        <v>L</v>
      </c>
      <c r="G8" s="10"/>
      <c r="H8" s="4"/>
      <c r="I8" s="4"/>
      <c r="J8" s="4"/>
      <c r="K8" s="11"/>
      <c r="L8" s="7"/>
      <c r="M8" s="5"/>
    </row>
    <row r="9" spans="1:31" x14ac:dyDescent="0.3">
      <c r="A9" s="7" t="s">
        <v>186</v>
      </c>
      <c r="B9" s="49">
        <f>IF(B8="H",H7,K7)</f>
        <v>3.6856966335806711E-4</v>
      </c>
      <c r="D9" s="18" t="s">
        <v>120</v>
      </c>
      <c r="E9" s="20">
        <f>IF(E10&lt;0,0,E10)</f>
        <v>0</v>
      </c>
      <c r="G9" s="10" t="s">
        <v>135</v>
      </c>
      <c r="H9" s="4"/>
      <c r="I9" s="4"/>
      <c r="J9" s="4" t="s">
        <v>136</v>
      </c>
      <c r="K9" s="11"/>
      <c r="V9" s="39"/>
    </row>
    <row r="10" spans="1:31" x14ac:dyDescent="0.3">
      <c r="A10" s="7" t="s">
        <v>131</v>
      </c>
      <c r="B10" s="7">
        <f>B9*E7</f>
        <v>0</v>
      </c>
      <c r="D10" s="10" t="s">
        <v>95</v>
      </c>
      <c r="E10" s="21">
        <f>'Melt Properties'!E3-E11</f>
        <v>-134356.92801846843</v>
      </c>
      <c r="G10" s="10" t="s">
        <v>67</v>
      </c>
      <c r="H10" s="64">
        <v>52438188508.446602</v>
      </c>
      <c r="I10" s="4"/>
      <c r="J10" s="4" t="s">
        <v>67</v>
      </c>
      <c r="K10" s="12">
        <v>-143.40228710539699</v>
      </c>
      <c r="M10" s="5"/>
      <c r="T10" s="37"/>
    </row>
    <row r="11" spans="1:31" x14ac:dyDescent="0.3">
      <c r="D11" s="19" t="s">
        <v>96</v>
      </c>
      <c r="E11" s="22">
        <f>B4*E2</f>
        <v>1255305.76848625</v>
      </c>
      <c r="G11" s="10" t="s">
        <v>68</v>
      </c>
      <c r="H11" s="64">
        <v>387255505.74726403</v>
      </c>
      <c r="I11" s="4"/>
      <c r="J11" s="4" t="s">
        <v>68</v>
      </c>
      <c r="K11" s="12">
        <v>0.39524920279119602</v>
      </c>
    </row>
    <row r="12" spans="1:31" x14ac:dyDescent="0.3">
      <c r="G12" s="10" t="s">
        <v>69</v>
      </c>
      <c r="H12" s="64">
        <v>-177403128.52746299</v>
      </c>
      <c r="I12" s="4"/>
      <c r="J12" s="4" t="s">
        <v>69</v>
      </c>
      <c r="K12" s="12">
        <v>0.100426733134718</v>
      </c>
    </row>
    <row r="13" spans="1:31" x14ac:dyDescent="0.3">
      <c r="G13" s="10" t="s">
        <v>70</v>
      </c>
      <c r="H13" s="64">
        <v>17270.274506816899</v>
      </c>
      <c r="I13" s="4"/>
      <c r="J13" s="4" t="s">
        <v>70</v>
      </c>
      <c r="K13" s="12">
        <v>-4.5077696771847102E-3</v>
      </c>
    </row>
    <row r="14" spans="1:31" x14ac:dyDescent="0.3">
      <c r="D14" s="104" t="s">
        <v>192</v>
      </c>
      <c r="E14" s="47">
        <f>(E17+E18*B3+E19*B2)/(1+E20*B3+E21*B2)</f>
        <v>63.206043805767841</v>
      </c>
      <c r="G14" s="19" t="s">
        <v>71</v>
      </c>
      <c r="H14" s="76">
        <v>3820181.4348447798</v>
      </c>
      <c r="I14" s="65"/>
      <c r="J14" s="65" t="s">
        <v>71</v>
      </c>
      <c r="K14" s="77">
        <v>5.7475377397536304E-3</v>
      </c>
      <c r="O14" s="25"/>
      <c r="P14" s="25"/>
      <c r="Q14" s="25"/>
      <c r="R14" s="25"/>
      <c r="T14" s="25"/>
      <c r="U14" s="25"/>
    </row>
    <row r="15" spans="1:31" x14ac:dyDescent="0.3">
      <c r="D15" s="10"/>
      <c r="E15" s="11"/>
      <c r="V15" s="33"/>
      <c r="W15" s="33"/>
      <c r="X15" s="33"/>
      <c r="Y15" s="33"/>
      <c r="Z15" s="33"/>
      <c r="AA15" s="33"/>
      <c r="AB15" s="33"/>
      <c r="AC15" s="33"/>
      <c r="AD15" s="33"/>
      <c r="AE15" s="33"/>
    </row>
    <row r="16" spans="1:31" x14ac:dyDescent="0.3">
      <c r="D16" s="10" t="s">
        <v>135</v>
      </c>
      <c r="E16" s="11"/>
      <c r="S16" s="42"/>
      <c r="T16" s="34"/>
      <c r="U16" s="33"/>
      <c r="V16" s="33"/>
      <c r="W16" s="33"/>
      <c r="X16" s="33"/>
      <c r="Y16" s="33"/>
      <c r="Z16" s="33"/>
      <c r="AA16" s="33"/>
      <c r="AB16" s="33"/>
      <c r="AC16" s="33"/>
      <c r="AD16" s="33"/>
      <c r="AE16" s="33"/>
    </row>
    <row r="17" spans="4:31" x14ac:dyDescent="0.3">
      <c r="D17" s="10" t="s">
        <v>67</v>
      </c>
      <c r="E17" s="11">
        <f>2.79061961240246*10^9</f>
        <v>2790619612.4024596</v>
      </c>
      <c r="S17" s="43"/>
      <c r="T17" s="34"/>
      <c r="U17" s="33"/>
      <c r="V17" s="30"/>
      <c r="W17" s="30"/>
      <c r="X17" s="30"/>
      <c r="Y17" s="33"/>
      <c r="Z17" s="33"/>
      <c r="AA17" s="33"/>
      <c r="AB17" s="33"/>
      <c r="AC17" s="33"/>
      <c r="AD17" s="33"/>
      <c r="AE17" s="33"/>
    </row>
    <row r="18" spans="4:31" x14ac:dyDescent="0.3">
      <c r="D18" s="10" t="s">
        <v>68</v>
      </c>
      <c r="E18" s="11">
        <f>7.55365188792829*10^7</f>
        <v>75536518.879282907</v>
      </c>
      <c r="S18" s="40"/>
      <c r="T18" s="30"/>
      <c r="U18" s="33"/>
      <c r="V18" s="32"/>
      <c r="W18" s="32"/>
      <c r="X18" s="32"/>
      <c r="Y18" s="32"/>
      <c r="Z18" s="33"/>
      <c r="AA18" s="34"/>
      <c r="AB18" s="33"/>
      <c r="AC18" s="33"/>
      <c r="AD18" s="33"/>
      <c r="AE18" s="33"/>
    </row>
    <row r="19" spans="4:31" x14ac:dyDescent="0.3">
      <c r="D19" s="10" t="s">
        <v>69</v>
      </c>
      <c r="E19" s="11">
        <f>-4.83329833783141*10^6</f>
        <v>-4833298.3378314096</v>
      </c>
      <c r="O19" s="9"/>
      <c r="S19" s="40"/>
      <c r="T19" s="32"/>
      <c r="U19" s="33"/>
      <c r="V19" s="32"/>
      <c r="W19" s="32"/>
      <c r="X19" s="32"/>
      <c r="Y19" s="33"/>
      <c r="Z19" s="33"/>
      <c r="AA19" s="33"/>
      <c r="AB19" s="34"/>
      <c r="AC19" s="33"/>
      <c r="AD19" s="33"/>
      <c r="AE19" s="33"/>
    </row>
    <row r="20" spans="4:31" x14ac:dyDescent="0.3">
      <c r="D20" s="10" t="s">
        <v>70</v>
      </c>
      <c r="E20" s="11">
        <f>5.90198864628899*10^4</f>
        <v>59019.886462889895</v>
      </c>
      <c r="P20" s="38"/>
      <c r="S20" s="40"/>
      <c r="T20" s="32"/>
      <c r="U20" s="33"/>
      <c r="V20" s="32"/>
      <c r="W20" s="32"/>
      <c r="X20" s="32"/>
      <c r="Y20" s="33"/>
      <c r="Z20" s="33"/>
      <c r="AA20" s="33"/>
      <c r="AB20" s="33"/>
      <c r="AC20" s="33"/>
      <c r="AD20" s="33"/>
      <c r="AE20" s="33"/>
    </row>
    <row r="21" spans="4:31" x14ac:dyDescent="0.3">
      <c r="D21" s="19" t="s">
        <v>71</v>
      </c>
      <c r="E21" s="22">
        <f>3.0147526918634*10^5</f>
        <v>301475.26918633998</v>
      </c>
      <c r="S21" s="40"/>
      <c r="T21" s="32"/>
      <c r="U21" s="33"/>
      <c r="V21" s="32"/>
      <c r="W21" s="32"/>
      <c r="X21" s="32"/>
      <c r="Y21" s="33"/>
      <c r="Z21" s="33"/>
      <c r="AA21" s="33"/>
      <c r="AB21" s="33"/>
      <c r="AC21" s="33"/>
      <c r="AD21" s="33"/>
      <c r="AE21" s="33"/>
    </row>
    <row r="22" spans="4:31" x14ac:dyDescent="0.3">
      <c r="S22" s="40"/>
      <c r="T22" s="32"/>
      <c r="U22" s="33"/>
      <c r="V22" s="32"/>
      <c r="W22" s="32"/>
      <c r="X22" s="32"/>
      <c r="Y22" s="33"/>
      <c r="Z22" s="33"/>
      <c r="AA22" s="33"/>
      <c r="AB22" s="33"/>
      <c r="AC22" s="33"/>
      <c r="AD22" s="33"/>
      <c r="AE22" s="33"/>
    </row>
    <row r="23" spans="4:31" x14ac:dyDescent="0.3">
      <c r="P23" s="9"/>
      <c r="S23" s="40"/>
      <c r="T23" s="32"/>
      <c r="U23" s="33"/>
      <c r="V23" s="33"/>
      <c r="W23" s="33"/>
      <c r="X23" s="33"/>
      <c r="Y23" s="33"/>
      <c r="Z23" s="33"/>
      <c r="AA23" s="33"/>
      <c r="AB23" s="33"/>
      <c r="AC23" s="33"/>
      <c r="AD23" s="33"/>
      <c r="AE23" s="33"/>
    </row>
    <row r="24" spans="4:31" x14ac:dyDescent="0.3">
      <c r="S24" s="40"/>
      <c r="T24" s="32"/>
      <c r="U24" s="33"/>
      <c r="V24" s="33"/>
      <c r="W24" s="33"/>
      <c r="X24" s="33"/>
      <c r="Y24" s="33"/>
      <c r="Z24" s="33"/>
      <c r="AA24" s="33"/>
      <c r="AB24" s="33"/>
      <c r="AC24" s="33"/>
      <c r="AD24" s="33"/>
      <c r="AE24" s="33"/>
    </row>
    <row r="25" spans="4:31" x14ac:dyDescent="0.3">
      <c r="S25" s="40"/>
      <c r="T25" s="32"/>
      <c r="U25" s="33"/>
      <c r="V25" s="31"/>
      <c r="W25" s="31"/>
      <c r="X25" s="31"/>
      <c r="Y25" s="31"/>
      <c r="Z25" s="31"/>
      <c r="AA25" s="31"/>
      <c r="AB25" s="31"/>
      <c r="AC25" s="33"/>
      <c r="AD25" s="33"/>
      <c r="AE25" s="33"/>
    </row>
    <row r="26" spans="4:31" x14ac:dyDescent="0.3">
      <c r="S26" s="43"/>
      <c r="T26" s="31"/>
      <c r="U26" s="31"/>
      <c r="V26" s="32"/>
      <c r="W26" s="32"/>
      <c r="X26" s="32"/>
      <c r="Y26" s="32"/>
      <c r="Z26" s="32"/>
      <c r="AA26" s="32"/>
      <c r="AB26" s="32"/>
      <c r="AC26" s="33"/>
      <c r="AD26" s="33"/>
      <c r="AE26" s="33"/>
    </row>
    <row r="27" spans="4:31" x14ac:dyDescent="0.3">
      <c r="S27" s="43"/>
      <c r="T27" s="32"/>
      <c r="U27" s="32"/>
      <c r="V27" s="32"/>
      <c r="W27" s="32"/>
      <c r="X27" s="32"/>
      <c r="Y27" s="32"/>
      <c r="Z27" s="32"/>
      <c r="AA27" s="32"/>
      <c r="AB27" s="32"/>
      <c r="AC27" s="33"/>
      <c r="AD27" s="33"/>
      <c r="AE27" s="33"/>
    </row>
    <row r="28" spans="4:31" x14ac:dyDescent="0.3">
      <c r="I28" s="35"/>
      <c r="P28" s="32"/>
      <c r="Q28" s="32"/>
      <c r="R28" s="32"/>
      <c r="S28" s="44"/>
      <c r="W28" s="32"/>
      <c r="X28" s="32"/>
      <c r="Y28" s="32"/>
      <c r="Z28" s="32"/>
      <c r="AA28" s="32"/>
      <c r="AB28" s="32"/>
      <c r="AC28" s="33"/>
      <c r="AD28" s="33"/>
      <c r="AE28" s="33"/>
    </row>
    <row r="29" spans="4:31" x14ac:dyDescent="0.3">
      <c r="S29" s="43"/>
      <c r="T29" s="32"/>
      <c r="U29" s="32"/>
      <c r="V29" s="33"/>
      <c r="W29" s="33"/>
      <c r="X29" s="33"/>
      <c r="Y29" s="33"/>
      <c r="Z29" s="33"/>
      <c r="AA29" s="33"/>
      <c r="AB29" s="33"/>
      <c r="AC29" s="33"/>
      <c r="AD29" s="33"/>
      <c r="AE29" s="33"/>
    </row>
    <row r="30" spans="4:31" x14ac:dyDescent="0.3">
      <c r="H30" s="24"/>
      <c r="S30" s="42"/>
      <c r="T30" s="33"/>
      <c r="U30" s="33"/>
      <c r="V30" s="31"/>
      <c r="W30" s="31"/>
      <c r="X30" s="31"/>
      <c r="Y30" s="31"/>
      <c r="Z30" s="31"/>
      <c r="AA30" s="31"/>
      <c r="AB30" s="31"/>
      <c r="AC30" s="31"/>
      <c r="AD30" s="31"/>
      <c r="AE30" s="31"/>
    </row>
    <row r="31" spans="4:31" x14ac:dyDescent="0.3">
      <c r="S31" s="43"/>
      <c r="T31" s="31"/>
      <c r="U31" s="31"/>
      <c r="V31" s="32"/>
      <c r="W31" s="32"/>
      <c r="X31" s="32"/>
      <c r="Y31" s="32"/>
      <c r="Z31" s="32"/>
      <c r="AA31" s="32"/>
      <c r="AB31" s="32"/>
      <c r="AC31" s="32"/>
      <c r="AD31" s="32"/>
      <c r="AE31" s="32"/>
    </row>
    <row r="32" spans="4:31" x14ac:dyDescent="0.3">
      <c r="S32" s="43"/>
      <c r="T32" s="32"/>
      <c r="U32" s="32"/>
      <c r="V32" s="32"/>
      <c r="W32" s="32"/>
      <c r="X32" s="32"/>
      <c r="Y32" s="32"/>
      <c r="Z32" s="32"/>
      <c r="AA32" s="32"/>
      <c r="AB32" s="32"/>
      <c r="AC32" s="32"/>
      <c r="AD32" s="32"/>
      <c r="AE32" s="32"/>
    </row>
    <row r="33" spans="1:21" x14ac:dyDescent="0.3">
      <c r="S33" s="43"/>
      <c r="T33" s="32"/>
      <c r="U33" s="32"/>
    </row>
    <row r="35" spans="1:21" x14ac:dyDescent="0.3">
      <c r="A35" t="s">
        <v>127</v>
      </c>
      <c r="B35" t="s">
        <v>128</v>
      </c>
      <c r="S35" s="40"/>
    </row>
    <row r="36" spans="1:21" x14ac:dyDescent="0.3">
      <c r="A36" t="s">
        <v>129</v>
      </c>
      <c r="B36">
        <f>E14/1000</f>
        <v>6.3206043805767845E-2</v>
      </c>
      <c r="S36" s="40"/>
    </row>
    <row r="37" spans="1:21" x14ac:dyDescent="0.3">
      <c r="S37" s="43"/>
    </row>
    <row r="38" spans="1:21" x14ac:dyDescent="0.3">
      <c r="D38" t="s">
        <v>123</v>
      </c>
    </row>
    <row r="39" spans="1:21" x14ac:dyDescent="0.3">
      <c r="A39" t="s">
        <v>130</v>
      </c>
      <c r="S39" s="45"/>
    </row>
  </sheetData>
  <mergeCells count="1">
    <mergeCell ref="G2:K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3A2F-32D0-491E-B930-5165BB47CB13}">
  <dimension ref="A1:AM46"/>
  <sheetViews>
    <sheetView zoomScale="85" zoomScaleNormal="85" workbookViewId="0">
      <selection activeCell="I34" sqref="I34"/>
    </sheetView>
  </sheetViews>
  <sheetFormatPr defaultRowHeight="14.4" x14ac:dyDescent="0.3"/>
  <sheetData>
    <row r="1" spans="1:39" x14ac:dyDescent="0.3">
      <c r="A1" s="122" t="s">
        <v>102</v>
      </c>
      <c r="B1" s="122"/>
      <c r="C1" s="123"/>
      <c r="D1" s="122" t="s">
        <v>209</v>
      </c>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3"/>
    </row>
    <row r="2" spans="1:39" x14ac:dyDescent="0.3">
      <c r="C2" s="72"/>
      <c r="D2" s="124" t="s">
        <v>103</v>
      </c>
      <c r="E2" s="122"/>
      <c r="F2" s="122"/>
      <c r="G2" s="124" t="s">
        <v>104</v>
      </c>
      <c r="H2" s="122"/>
      <c r="I2" s="123"/>
      <c r="J2" s="124" t="s">
        <v>105</v>
      </c>
      <c r="K2" s="122"/>
      <c r="L2" s="122"/>
      <c r="M2" s="124" t="s">
        <v>200</v>
      </c>
      <c r="N2" s="122"/>
      <c r="O2" s="123"/>
      <c r="P2" s="124" t="s">
        <v>201</v>
      </c>
      <c r="Q2" s="122"/>
      <c r="R2" s="123"/>
      <c r="S2" s="124" t="s">
        <v>202</v>
      </c>
      <c r="T2" s="122"/>
      <c r="U2" s="123"/>
      <c r="V2" s="122" t="s">
        <v>203</v>
      </c>
      <c r="W2" s="122"/>
      <c r="X2" s="123"/>
      <c r="Y2" s="124" t="s">
        <v>204</v>
      </c>
      <c r="Z2" s="122"/>
      <c r="AA2" s="123"/>
      <c r="AB2" s="122" t="s">
        <v>205</v>
      </c>
      <c r="AC2" s="122"/>
      <c r="AD2" s="123"/>
      <c r="AE2" s="122" t="s">
        <v>206</v>
      </c>
      <c r="AF2" s="122"/>
      <c r="AG2" s="123"/>
      <c r="AH2" s="124" t="s">
        <v>207</v>
      </c>
      <c r="AI2" s="122"/>
      <c r="AJ2" s="123"/>
      <c r="AK2" s="122" t="s">
        <v>208</v>
      </c>
      <c r="AL2" s="122"/>
      <c r="AM2" s="123"/>
    </row>
    <row r="3" spans="1:39" x14ac:dyDescent="0.3">
      <c r="A3" t="s">
        <v>101</v>
      </c>
      <c r="B3" t="s">
        <v>149</v>
      </c>
      <c r="C3" t="s">
        <v>150</v>
      </c>
      <c r="D3" s="10" t="s">
        <v>101</v>
      </c>
      <c r="E3" t="s">
        <v>149</v>
      </c>
      <c r="F3" t="s">
        <v>150</v>
      </c>
      <c r="G3" s="10" t="s">
        <v>101</v>
      </c>
      <c r="H3" t="s">
        <v>149</v>
      </c>
      <c r="I3" t="s">
        <v>150</v>
      </c>
      <c r="J3" s="10" t="s">
        <v>101</v>
      </c>
      <c r="K3" t="s">
        <v>149</v>
      </c>
      <c r="L3" t="s">
        <v>150</v>
      </c>
      <c r="M3" s="10" t="s">
        <v>101</v>
      </c>
      <c r="N3" s="4" t="s">
        <v>149</v>
      </c>
      <c r="O3" s="11" t="s">
        <v>150</v>
      </c>
      <c r="P3" s="10" t="s">
        <v>101</v>
      </c>
      <c r="Q3" s="4" t="s">
        <v>149</v>
      </c>
      <c r="R3" s="11" t="s">
        <v>150</v>
      </c>
      <c r="S3" s="10" t="s">
        <v>101</v>
      </c>
      <c r="T3" s="4" t="s">
        <v>149</v>
      </c>
      <c r="U3" s="11" t="s">
        <v>150</v>
      </c>
      <c r="V3" s="4" t="s">
        <v>101</v>
      </c>
      <c r="W3" t="s">
        <v>149</v>
      </c>
      <c r="X3" t="s">
        <v>150</v>
      </c>
      <c r="Y3" s="10" t="s">
        <v>101</v>
      </c>
      <c r="Z3" s="4" t="s">
        <v>149</v>
      </c>
      <c r="AA3" s="11" t="s">
        <v>150</v>
      </c>
      <c r="AB3" s="4" t="s">
        <v>101</v>
      </c>
      <c r="AC3" s="4" t="s">
        <v>149</v>
      </c>
      <c r="AD3" s="11" t="s">
        <v>150</v>
      </c>
      <c r="AE3" s="4" t="s">
        <v>101</v>
      </c>
      <c r="AF3" s="4" t="s">
        <v>149</v>
      </c>
      <c r="AG3" s="11" t="s">
        <v>150</v>
      </c>
      <c r="AH3" s="10" t="s">
        <v>101</v>
      </c>
      <c r="AI3" s="4" t="s">
        <v>149</v>
      </c>
      <c r="AJ3" s="11" t="s">
        <v>150</v>
      </c>
      <c r="AK3" s="4" t="s">
        <v>101</v>
      </c>
      <c r="AL3" s="4" t="s">
        <v>149</v>
      </c>
      <c r="AM3" s="11" t="s">
        <v>150</v>
      </c>
    </row>
    <row r="4" spans="1:39" x14ac:dyDescent="0.3">
      <c r="A4">
        <v>960.24900000000002</v>
      </c>
      <c r="B4">
        <v>10.254624</v>
      </c>
      <c r="C4">
        <f>B4/10</f>
        <v>1.0254623999999999</v>
      </c>
      <c r="D4" s="10">
        <v>959.78234999999995</v>
      </c>
      <c r="E4" s="4">
        <v>5.9844489999999997</v>
      </c>
      <c r="F4" s="4">
        <f>E4/10</f>
        <v>0.59844489999999995</v>
      </c>
      <c r="G4" s="10">
        <v>875.16639999999995</v>
      </c>
      <c r="H4" s="4">
        <v>131.58698000000001</v>
      </c>
      <c r="I4" s="4">
        <f>H4/10</f>
        <v>13.158698000000001</v>
      </c>
      <c r="J4" s="10">
        <v>805.48424999999997</v>
      </c>
      <c r="K4" s="4">
        <v>327.59586000000002</v>
      </c>
      <c r="L4" s="4">
        <f>K4/10</f>
        <v>32.759585999999999</v>
      </c>
      <c r="M4" s="10">
        <v>760.38030000000003</v>
      </c>
      <c r="N4" s="4">
        <v>622.78859999999997</v>
      </c>
      <c r="O4" s="11">
        <f>N4/10</f>
        <v>62.278859999999995</v>
      </c>
      <c r="P4" s="10">
        <v>724.92096000000004</v>
      </c>
      <c r="Q4" s="4">
        <v>953.16895</v>
      </c>
      <c r="R4" s="11">
        <f>Q4/10</f>
        <v>95.316895000000002</v>
      </c>
      <c r="S4" s="10">
        <v>703.30560000000003</v>
      </c>
      <c r="T4" s="4">
        <v>1299.4763</v>
      </c>
      <c r="U4" s="11">
        <f>T4/10</f>
        <v>129.94763</v>
      </c>
      <c r="V4" s="4">
        <v>683.71496999999999</v>
      </c>
      <c r="W4" s="4">
        <v>1799.6152</v>
      </c>
      <c r="X4" s="4">
        <f>W4/10</f>
        <v>179.96152000000001</v>
      </c>
      <c r="Y4" s="4">
        <v>669.25900000000001</v>
      </c>
      <c r="Z4" s="4">
        <v>2392.6662999999999</v>
      </c>
      <c r="AA4" s="11">
        <f>Z4/10</f>
        <v>239.26662999999999</v>
      </c>
      <c r="AB4" s="4">
        <v>656.51819999999998</v>
      </c>
      <c r="AC4" s="4">
        <v>3235.7046</v>
      </c>
      <c r="AD4" s="11">
        <f>AC4/10</f>
        <v>323.57046000000003</v>
      </c>
      <c r="AE4" s="4">
        <v>648.91010000000006</v>
      </c>
      <c r="AF4" s="4">
        <v>4056.2707999999998</v>
      </c>
      <c r="AG4" s="11">
        <f>AF4/10</f>
        <v>405.62707999999998</v>
      </c>
      <c r="AH4" s="10">
        <v>642.20000000000005</v>
      </c>
      <c r="AI4" s="4">
        <v>5270</v>
      </c>
      <c r="AJ4" s="11">
        <f>AI4/10</f>
        <v>527</v>
      </c>
      <c r="AK4" s="4">
        <v>639.1</v>
      </c>
      <c r="AL4" s="4">
        <v>6245.7974000000004</v>
      </c>
      <c r="AM4" s="11">
        <f>AL4/10</f>
        <v>624.57974000000002</v>
      </c>
    </row>
    <row r="5" spans="1:39" x14ac:dyDescent="0.3">
      <c r="A5">
        <v>950.50149999999996</v>
      </c>
      <c r="B5">
        <v>18.871047999999998</v>
      </c>
      <c r="C5">
        <f t="shared" ref="C5:C45" si="0">B5/10</f>
        <v>1.8871047999999999</v>
      </c>
      <c r="D5" s="10">
        <v>975.19415000000004</v>
      </c>
      <c r="E5" s="4">
        <v>755.87379999999996</v>
      </c>
      <c r="F5" s="4">
        <f t="shared" ref="F5:F10" si="1">E5/10</f>
        <v>75.587379999999996</v>
      </c>
      <c r="G5" s="10">
        <v>885.74980000000005</v>
      </c>
      <c r="H5" s="4">
        <v>500.10090000000002</v>
      </c>
      <c r="I5" s="4">
        <f t="shared" ref="I5:I15" si="2">H5/10</f>
        <v>50.010090000000005</v>
      </c>
      <c r="J5" s="10">
        <v>824.93939999999998</v>
      </c>
      <c r="K5" s="4">
        <v>1022.9693</v>
      </c>
      <c r="L5" s="4">
        <f t="shared" ref="L5:L15" si="3">K5/10</f>
        <v>102.29693</v>
      </c>
      <c r="M5" s="10">
        <v>775.01085999999998</v>
      </c>
      <c r="N5" s="4">
        <v>1164.3503000000001</v>
      </c>
      <c r="O5" s="11">
        <f t="shared" ref="O5:O16" si="4">N5/10</f>
        <v>116.43503000000001</v>
      </c>
      <c r="P5" s="10">
        <v>737.0607</v>
      </c>
      <c r="Q5" s="4">
        <v>1372.9537</v>
      </c>
      <c r="R5" s="11">
        <f t="shared" ref="R5:R16" si="5">Q5/10</f>
        <v>137.29536999999999</v>
      </c>
      <c r="S5" s="10">
        <v>706.72979999999995</v>
      </c>
      <c r="T5" s="4">
        <v>1427.6569</v>
      </c>
      <c r="U5" s="11">
        <f t="shared" ref="U5:U18" si="6">T5/10</f>
        <v>142.76569000000001</v>
      </c>
      <c r="V5" s="4">
        <v>687.76319999999998</v>
      </c>
      <c r="W5" s="4">
        <v>2036.7655999999999</v>
      </c>
      <c r="X5" s="4">
        <f t="shared" ref="X5:X13" si="7">W5/10</f>
        <v>203.67655999999999</v>
      </c>
      <c r="Y5" s="4">
        <v>674.24419999999998</v>
      </c>
      <c r="Z5" s="4">
        <v>2854.1687000000002</v>
      </c>
      <c r="AA5" s="11">
        <f t="shared" ref="AA5:AA13" si="8">Z5/10</f>
        <v>285.41687000000002</v>
      </c>
      <c r="AB5" s="4">
        <v>661.03740000000005</v>
      </c>
      <c r="AC5" s="4">
        <v>3735.6718999999998</v>
      </c>
      <c r="AD5" s="11">
        <f t="shared" ref="AD5:AD12" si="9">AC5/10</f>
        <v>373.56718999999998</v>
      </c>
      <c r="AE5" s="4">
        <v>651.40660000000003</v>
      </c>
      <c r="AF5" s="4">
        <v>4520.9960000000001</v>
      </c>
      <c r="AG5" s="11">
        <f t="shared" ref="AG5:AG10" si="10">AF5/10</f>
        <v>452.09960000000001</v>
      </c>
      <c r="AH5" s="10">
        <v>643.85504000000003</v>
      </c>
      <c r="AI5" s="4">
        <v>5783.6170000000002</v>
      </c>
      <c r="AJ5" s="11">
        <f t="shared" ref="AJ5:AJ7" si="11">AI5/10</f>
        <v>578.36170000000004</v>
      </c>
      <c r="AK5" s="4">
        <v>640</v>
      </c>
      <c r="AL5" s="4">
        <v>6753.1090000000004</v>
      </c>
      <c r="AM5" s="11">
        <f t="shared" ref="AM5:AM7" si="12">AL5/10</f>
        <v>675.31090000000006</v>
      </c>
    </row>
    <row r="6" spans="1:39" x14ac:dyDescent="0.3">
      <c r="A6">
        <v>940.13210000000004</v>
      </c>
      <c r="B6">
        <v>44.585900000000002</v>
      </c>
      <c r="C6">
        <f t="shared" si="0"/>
        <v>4.4585900000000001</v>
      </c>
      <c r="D6" s="10">
        <v>994.80989999999997</v>
      </c>
      <c r="E6" s="4">
        <v>1752.5277000000001</v>
      </c>
      <c r="F6" s="4">
        <f t="shared" si="1"/>
        <v>175.25277</v>
      </c>
      <c r="G6" s="10">
        <v>897.11194</v>
      </c>
      <c r="H6" s="4">
        <v>923.09640000000002</v>
      </c>
      <c r="I6" s="4">
        <f t="shared" si="2"/>
        <v>92.309640000000002</v>
      </c>
      <c r="J6" s="10">
        <v>834.43380000000002</v>
      </c>
      <c r="K6" s="4">
        <v>1378.6704</v>
      </c>
      <c r="L6" s="4">
        <f t="shared" si="3"/>
        <v>137.86704</v>
      </c>
      <c r="M6" s="10">
        <v>781.85913000000005</v>
      </c>
      <c r="N6" s="4">
        <v>1411.0962</v>
      </c>
      <c r="O6" s="11">
        <f t="shared" si="4"/>
        <v>141.10962000000001</v>
      </c>
      <c r="P6" s="10">
        <v>745.62189999999998</v>
      </c>
      <c r="Q6" s="4">
        <v>1731.8667</v>
      </c>
      <c r="R6" s="11">
        <f t="shared" si="5"/>
        <v>173.18666999999999</v>
      </c>
      <c r="S6" s="10">
        <v>711.24426000000005</v>
      </c>
      <c r="T6" s="4">
        <v>1642.3679999999999</v>
      </c>
      <c r="U6" s="11">
        <f t="shared" si="6"/>
        <v>164.23679999999999</v>
      </c>
      <c r="V6" s="4">
        <v>694.45839999999998</v>
      </c>
      <c r="W6" s="4">
        <v>2434.1532999999999</v>
      </c>
      <c r="X6" s="4">
        <f t="shared" si="7"/>
        <v>243.41532999999998</v>
      </c>
      <c r="Y6" s="4">
        <v>679.22990000000004</v>
      </c>
      <c r="Z6" s="4">
        <v>3341.3119999999999</v>
      </c>
      <c r="AA6" s="11">
        <f t="shared" si="8"/>
        <v>334.13119999999998</v>
      </c>
      <c r="AB6" s="4">
        <v>666.33579999999995</v>
      </c>
      <c r="AC6" s="4">
        <v>4315.7617</v>
      </c>
      <c r="AD6" s="11">
        <f t="shared" si="9"/>
        <v>431.57616999999999</v>
      </c>
      <c r="AE6" s="4">
        <v>654.21720000000005</v>
      </c>
      <c r="AF6" s="4">
        <v>5162.0010000000002</v>
      </c>
      <c r="AG6" s="11">
        <f t="shared" si="10"/>
        <v>516.20010000000002</v>
      </c>
      <c r="AH6" s="10">
        <v>646.28375000000005</v>
      </c>
      <c r="AI6" s="4">
        <v>6692.2979999999998</v>
      </c>
      <c r="AJ6" s="11">
        <f t="shared" si="11"/>
        <v>669.22979999999995</v>
      </c>
      <c r="AK6" s="4">
        <v>641</v>
      </c>
      <c r="AL6" s="4">
        <v>7424.1587</v>
      </c>
      <c r="AM6" s="11">
        <f t="shared" si="12"/>
        <v>742.41587000000004</v>
      </c>
    </row>
    <row r="7" spans="1:39" x14ac:dyDescent="0.3">
      <c r="A7">
        <v>923.95540000000005</v>
      </c>
      <c r="B7">
        <v>61.795116</v>
      </c>
      <c r="C7">
        <f t="shared" si="0"/>
        <v>6.1795115999999997</v>
      </c>
      <c r="D7" s="10">
        <v>1020.96405</v>
      </c>
      <c r="E7" s="4">
        <v>3069.6475</v>
      </c>
      <c r="F7" s="4">
        <f t="shared" si="1"/>
        <v>306.96474999999998</v>
      </c>
      <c r="G7" s="10">
        <v>910.80884000000003</v>
      </c>
      <c r="H7" s="4">
        <v>1442.229</v>
      </c>
      <c r="I7" s="4">
        <f t="shared" si="2"/>
        <v>144.22290000000001</v>
      </c>
      <c r="J7" s="10">
        <v>844.08410000000003</v>
      </c>
      <c r="K7" s="4">
        <v>1756.8063999999999</v>
      </c>
      <c r="L7" s="4">
        <f t="shared" si="3"/>
        <v>175.68063999999998</v>
      </c>
      <c r="M7" s="10">
        <v>790.88720000000001</v>
      </c>
      <c r="N7" s="4">
        <v>1786.0314000000001</v>
      </c>
      <c r="O7" s="11">
        <f t="shared" si="4"/>
        <v>178.60314</v>
      </c>
      <c r="P7" s="10">
        <v>757.91890000000001</v>
      </c>
      <c r="Q7" s="4">
        <v>2254.2143999999998</v>
      </c>
      <c r="R7" s="11">
        <f t="shared" si="5"/>
        <v>225.42143999999999</v>
      </c>
      <c r="S7" s="10">
        <v>717.78340000000003</v>
      </c>
      <c r="T7" s="4">
        <v>2004.5005000000001</v>
      </c>
      <c r="U7" s="11">
        <f t="shared" si="6"/>
        <v>200.45005</v>
      </c>
      <c r="V7" s="4">
        <v>702.55529999999999</v>
      </c>
      <c r="W7" s="4">
        <v>2937.3002999999999</v>
      </c>
      <c r="X7" s="4">
        <f t="shared" si="7"/>
        <v>293.73003</v>
      </c>
      <c r="Y7" s="4">
        <v>684.68273999999997</v>
      </c>
      <c r="Z7" s="4">
        <v>3857.2979999999998</v>
      </c>
      <c r="AA7" s="11">
        <f t="shared" si="8"/>
        <v>385.72979999999995</v>
      </c>
      <c r="AB7" s="4">
        <v>669.60910000000001</v>
      </c>
      <c r="AC7" s="4">
        <v>4719.5839999999998</v>
      </c>
      <c r="AD7" s="11">
        <f t="shared" si="9"/>
        <v>471.95839999999998</v>
      </c>
      <c r="AE7" s="4">
        <v>656.24980000000005</v>
      </c>
      <c r="AF7" s="4">
        <v>5783.7803000000004</v>
      </c>
      <c r="AG7" s="11">
        <f t="shared" si="10"/>
        <v>578.37803000000008</v>
      </c>
      <c r="AH7" s="10">
        <v>649.30799999999999</v>
      </c>
      <c r="AI7" s="4">
        <v>8002.326</v>
      </c>
      <c r="AJ7" s="11">
        <f t="shared" si="11"/>
        <v>800.23260000000005</v>
      </c>
      <c r="AK7" s="4">
        <v>642</v>
      </c>
      <c r="AL7" s="4">
        <v>7998.8890000000001</v>
      </c>
      <c r="AM7" s="11">
        <f t="shared" si="12"/>
        <v>799.88890000000004</v>
      </c>
    </row>
    <row r="8" spans="1:39" x14ac:dyDescent="0.3">
      <c r="A8">
        <v>900.10519999999997</v>
      </c>
      <c r="B8">
        <v>91.879480000000001</v>
      </c>
      <c r="C8">
        <f t="shared" si="0"/>
        <v>9.1879480000000004</v>
      </c>
      <c r="D8" s="10">
        <v>1059.8839</v>
      </c>
      <c r="E8" s="4">
        <v>5034.1112999999996</v>
      </c>
      <c r="F8" s="4">
        <f t="shared" si="1"/>
        <v>503.41112999999996</v>
      </c>
      <c r="G8" s="10">
        <v>921.70434999999998</v>
      </c>
      <c r="H8" s="4">
        <v>1868.4329</v>
      </c>
      <c r="I8" s="4">
        <f t="shared" si="2"/>
        <v>186.84329</v>
      </c>
      <c r="J8" s="10">
        <v>853.11220000000003</v>
      </c>
      <c r="K8" s="4">
        <v>2134.9468000000002</v>
      </c>
      <c r="L8" s="4">
        <f t="shared" si="3"/>
        <v>213.49468000000002</v>
      </c>
      <c r="M8" s="10">
        <v>800.53800000000001</v>
      </c>
      <c r="N8" s="4">
        <v>2196.2184999999999</v>
      </c>
      <c r="O8" s="11">
        <f t="shared" si="4"/>
        <v>219.62184999999999</v>
      </c>
      <c r="P8" s="10">
        <v>773.01909999999998</v>
      </c>
      <c r="Q8" s="4">
        <v>2972.0547000000001</v>
      </c>
      <c r="R8" s="11">
        <f t="shared" si="5"/>
        <v>297.20546999999999</v>
      </c>
      <c r="S8" s="10">
        <v>722.76526000000001</v>
      </c>
      <c r="T8" s="4">
        <v>2264.08</v>
      </c>
      <c r="U8" s="11">
        <f t="shared" si="6"/>
        <v>226.40799999999999</v>
      </c>
      <c r="V8" s="4">
        <v>713.45592999999997</v>
      </c>
      <c r="W8" s="4">
        <v>3667.991</v>
      </c>
      <c r="X8" s="4">
        <f t="shared" si="7"/>
        <v>366.79910000000001</v>
      </c>
      <c r="Y8" s="4">
        <v>690.91520000000003</v>
      </c>
      <c r="Z8" s="4">
        <v>4485.4579999999996</v>
      </c>
      <c r="AA8" s="11">
        <f t="shared" si="8"/>
        <v>448.54579999999999</v>
      </c>
      <c r="AB8" s="4">
        <v>671.63653999999997</v>
      </c>
      <c r="AC8" s="4">
        <v>5036.8770000000004</v>
      </c>
      <c r="AD8" s="11">
        <f t="shared" si="9"/>
        <v>503.68770000000006</v>
      </c>
      <c r="AE8" s="4">
        <v>659.53049999999996</v>
      </c>
      <c r="AF8" s="4">
        <v>6629.9097000000002</v>
      </c>
      <c r="AG8" s="11">
        <f t="shared" si="10"/>
        <v>662.99097000000006</v>
      </c>
      <c r="AH8" s="4"/>
      <c r="AI8" s="4"/>
      <c r="AJ8" s="4"/>
      <c r="AK8" s="4"/>
      <c r="AL8" s="4"/>
      <c r="AM8" s="4"/>
    </row>
    <row r="9" spans="1:39" x14ac:dyDescent="0.3">
      <c r="A9">
        <v>878.32889999999998</v>
      </c>
      <c r="B9">
        <v>113.40208</v>
      </c>
      <c r="C9">
        <f t="shared" si="0"/>
        <v>11.340208000000001</v>
      </c>
      <c r="D9" s="10">
        <v>1084.7920999999999</v>
      </c>
      <c r="E9" s="4">
        <v>6258.2915000000003</v>
      </c>
      <c r="F9" s="4">
        <f t="shared" si="1"/>
        <v>625.82915000000003</v>
      </c>
      <c r="G9" s="10">
        <v>936.18115</v>
      </c>
      <c r="H9" s="4">
        <v>2515.7649999999999</v>
      </c>
      <c r="I9" s="4">
        <f t="shared" si="2"/>
        <v>251.57649999999998</v>
      </c>
      <c r="J9" s="10">
        <v>863.38599999999997</v>
      </c>
      <c r="K9" s="4">
        <v>2590.0012000000002</v>
      </c>
      <c r="L9" s="4">
        <f t="shared" si="3"/>
        <v>259.00012000000004</v>
      </c>
      <c r="M9" s="10">
        <v>810.65643</v>
      </c>
      <c r="N9" s="4">
        <v>2657.6842999999999</v>
      </c>
      <c r="O9" s="11">
        <f t="shared" si="4"/>
        <v>265.76842999999997</v>
      </c>
      <c r="P9" s="10">
        <v>786.5625</v>
      </c>
      <c r="Q9" s="4">
        <v>3612.9832000000001</v>
      </c>
      <c r="R9" s="11">
        <f t="shared" si="5"/>
        <v>361.29831999999999</v>
      </c>
      <c r="S9" s="10">
        <v>728.21469999999999</v>
      </c>
      <c r="T9" s="4">
        <v>2581.3485999999998</v>
      </c>
      <c r="U9" s="11">
        <f t="shared" si="6"/>
        <v>258.13486</v>
      </c>
      <c r="V9" s="4">
        <v>722.95574999999997</v>
      </c>
      <c r="W9" s="4">
        <v>4347.4097000000002</v>
      </c>
      <c r="X9" s="4">
        <f t="shared" si="7"/>
        <v>434.74097</v>
      </c>
      <c r="Y9" s="4">
        <v>694.81100000000004</v>
      </c>
      <c r="Z9" s="4">
        <v>4908.5069999999996</v>
      </c>
      <c r="AA9" s="11">
        <f t="shared" si="8"/>
        <v>490.85069999999996</v>
      </c>
      <c r="AB9" s="4">
        <v>676.78539999999998</v>
      </c>
      <c r="AC9" s="4">
        <v>5979.1464999999998</v>
      </c>
      <c r="AD9" s="11">
        <f t="shared" si="9"/>
        <v>597.91464999999994</v>
      </c>
      <c r="AE9" s="4">
        <v>662.81177000000002</v>
      </c>
      <c r="AF9" s="4">
        <v>7511.2960000000003</v>
      </c>
      <c r="AG9" s="11">
        <f t="shared" si="10"/>
        <v>751.12959999999998</v>
      </c>
      <c r="AH9" s="4"/>
      <c r="AI9" s="4"/>
      <c r="AJ9" s="4"/>
      <c r="AK9" s="4"/>
      <c r="AL9" s="4"/>
      <c r="AM9" s="4"/>
    </row>
    <row r="10" spans="1:39" x14ac:dyDescent="0.3">
      <c r="A10">
        <v>866.09289999999999</v>
      </c>
      <c r="B10">
        <v>139.13022000000001</v>
      </c>
      <c r="C10">
        <f t="shared" si="0"/>
        <v>13.913022000000002</v>
      </c>
      <c r="D10" s="10">
        <v>1119.0415</v>
      </c>
      <c r="E10" s="4">
        <v>7979.1989999999996</v>
      </c>
      <c r="F10" s="4">
        <f t="shared" si="1"/>
        <v>797.91989999999998</v>
      </c>
      <c r="G10" s="10">
        <v>949.10144000000003</v>
      </c>
      <c r="H10" s="4">
        <v>3102.2107000000001</v>
      </c>
      <c r="I10" s="4">
        <f t="shared" si="2"/>
        <v>310.22107</v>
      </c>
      <c r="J10" s="10">
        <v>880.66565000000003</v>
      </c>
      <c r="K10" s="4">
        <v>3413.5952000000002</v>
      </c>
      <c r="L10" s="4">
        <f t="shared" si="3"/>
        <v>341.35952000000003</v>
      </c>
      <c r="M10" s="10">
        <v>823.73230000000001</v>
      </c>
      <c r="N10" s="4">
        <v>3247.3341999999998</v>
      </c>
      <c r="O10" s="11">
        <f t="shared" si="4"/>
        <v>324.73341999999997</v>
      </c>
      <c r="P10" s="10">
        <v>797.14873999999998</v>
      </c>
      <c r="Q10" s="4">
        <v>4148.1635999999999</v>
      </c>
      <c r="R10" s="11">
        <f t="shared" si="5"/>
        <v>414.81635999999997</v>
      </c>
      <c r="S10" s="10">
        <v>739.26880000000006</v>
      </c>
      <c r="T10" s="4">
        <v>3187.0383000000002</v>
      </c>
      <c r="U10" s="11">
        <f t="shared" si="6"/>
        <v>318.70383000000004</v>
      </c>
      <c r="V10" s="4">
        <v>730.74390000000005</v>
      </c>
      <c r="W10" s="4">
        <v>4988.3789999999999</v>
      </c>
      <c r="X10" s="4">
        <f t="shared" si="7"/>
        <v>498.83789999999999</v>
      </c>
      <c r="Y10" s="4">
        <v>701.82590000000005</v>
      </c>
      <c r="Z10" s="4">
        <v>5818.7120000000004</v>
      </c>
      <c r="AA10" s="11">
        <f t="shared" si="8"/>
        <v>581.87120000000004</v>
      </c>
      <c r="AB10" s="4">
        <v>679.75120000000004</v>
      </c>
      <c r="AC10" s="4">
        <v>6597.7143999999998</v>
      </c>
      <c r="AD10" s="11">
        <f t="shared" si="9"/>
        <v>659.77143999999998</v>
      </c>
      <c r="AE10" s="4">
        <v>664.68619999999999</v>
      </c>
      <c r="AF10" s="4">
        <v>7979.2304999999997</v>
      </c>
      <c r="AG10" s="11">
        <f t="shared" si="10"/>
        <v>797.92304999999999</v>
      </c>
      <c r="AH10" s="4"/>
      <c r="AI10" s="4"/>
      <c r="AJ10" s="4"/>
      <c r="AK10" s="4"/>
      <c r="AL10" s="4"/>
      <c r="AM10" s="4"/>
    </row>
    <row r="11" spans="1:39" x14ac:dyDescent="0.3">
      <c r="A11">
        <v>855.51586999999995</v>
      </c>
      <c r="B11">
        <v>152.02606</v>
      </c>
      <c r="C11">
        <f t="shared" si="0"/>
        <v>15.202605999999999</v>
      </c>
      <c r="G11" s="10">
        <v>969.64984000000004</v>
      </c>
      <c r="H11" s="4">
        <v>4060.3964999999998</v>
      </c>
      <c r="I11" s="4">
        <f t="shared" si="2"/>
        <v>406.03964999999999</v>
      </c>
      <c r="J11" s="10">
        <v>904.01575000000003</v>
      </c>
      <c r="K11" s="4">
        <v>4483.9404000000004</v>
      </c>
      <c r="L11" s="4">
        <f t="shared" si="3"/>
        <v>448.39404000000002</v>
      </c>
      <c r="M11" s="10">
        <v>835.25170000000003</v>
      </c>
      <c r="N11" s="4">
        <v>3776.0976999999998</v>
      </c>
      <c r="O11" s="11">
        <f t="shared" si="4"/>
        <v>377.60976999999997</v>
      </c>
      <c r="P11" s="10">
        <v>805.08812999999998</v>
      </c>
      <c r="Q11" s="4">
        <v>4532.7217000000001</v>
      </c>
      <c r="R11" s="11">
        <f t="shared" si="5"/>
        <v>453.27217000000002</v>
      </c>
      <c r="S11" s="10">
        <v>747.83230000000003</v>
      </c>
      <c r="T11" s="4">
        <v>3683.7716999999998</v>
      </c>
      <c r="U11" s="11">
        <f t="shared" si="6"/>
        <v>368.37716999999998</v>
      </c>
      <c r="V11" s="4">
        <v>739.62396000000001</v>
      </c>
      <c r="W11" s="4">
        <v>5812.0326999999997</v>
      </c>
      <c r="X11" s="4">
        <f t="shared" si="7"/>
        <v>581.20326999999997</v>
      </c>
      <c r="Y11" s="4">
        <v>706.65935999999999</v>
      </c>
      <c r="Z11" s="4">
        <v>6501.3689999999997</v>
      </c>
      <c r="AA11" s="11">
        <f t="shared" si="8"/>
        <v>650.13689999999997</v>
      </c>
      <c r="AB11" s="4">
        <v>683.96519999999998</v>
      </c>
      <c r="AC11" s="4">
        <v>7447.0424999999996</v>
      </c>
      <c r="AD11" s="11">
        <f t="shared" si="9"/>
        <v>744.70425</v>
      </c>
      <c r="AE11" s="4"/>
      <c r="AF11" s="4"/>
      <c r="AG11" s="4"/>
      <c r="AH11" s="4"/>
      <c r="AI11" s="4"/>
      <c r="AJ11" s="4"/>
      <c r="AK11" s="4"/>
      <c r="AL11" s="4"/>
      <c r="AM11" s="4"/>
    </row>
    <row r="12" spans="1:39" x14ac:dyDescent="0.3">
      <c r="A12">
        <v>843.07263</v>
      </c>
      <c r="B12">
        <v>186.30267000000001</v>
      </c>
      <c r="C12">
        <f t="shared" si="0"/>
        <v>18.630267</v>
      </c>
      <c r="G12" s="10">
        <v>985.52855999999997</v>
      </c>
      <c r="H12" s="4">
        <v>4823.1030000000001</v>
      </c>
      <c r="I12" s="4">
        <f t="shared" si="2"/>
        <v>482.31029999999998</v>
      </c>
      <c r="J12" s="10">
        <v>928.14520000000005</v>
      </c>
      <c r="K12" s="4">
        <v>5647.2285000000002</v>
      </c>
      <c r="L12" s="4">
        <f t="shared" si="3"/>
        <v>564.72284999999999</v>
      </c>
      <c r="M12" s="10">
        <v>849.10649999999998</v>
      </c>
      <c r="N12" s="4">
        <v>4433.0492999999997</v>
      </c>
      <c r="O12" s="11">
        <f t="shared" si="4"/>
        <v>443.30492999999996</v>
      </c>
      <c r="P12" s="10">
        <v>816.92039999999997</v>
      </c>
      <c r="Q12" s="4">
        <v>5167.2520000000004</v>
      </c>
      <c r="R12" s="11">
        <f t="shared" si="5"/>
        <v>516.72520000000009</v>
      </c>
      <c r="S12" s="10">
        <v>756.55139999999994</v>
      </c>
      <c r="T12" s="4">
        <v>4186.9139999999998</v>
      </c>
      <c r="U12" s="11">
        <f t="shared" si="6"/>
        <v>418.69139999999999</v>
      </c>
      <c r="V12" s="4">
        <v>749.43970000000002</v>
      </c>
      <c r="W12" s="4">
        <v>6779.91</v>
      </c>
      <c r="X12" s="4">
        <f t="shared" si="7"/>
        <v>677.99099999999999</v>
      </c>
      <c r="Y12" s="4">
        <v>712.27279999999996</v>
      </c>
      <c r="Z12" s="4">
        <v>7321.8410000000003</v>
      </c>
      <c r="AA12" s="11">
        <f t="shared" si="8"/>
        <v>732.18410000000006</v>
      </c>
      <c r="AB12" s="4">
        <v>686.61869999999999</v>
      </c>
      <c r="AC12" s="4">
        <v>7991.8945000000003</v>
      </c>
      <c r="AD12" s="11">
        <f t="shared" si="9"/>
        <v>799.18945000000008</v>
      </c>
      <c r="AE12" s="4"/>
      <c r="AF12" s="4"/>
      <c r="AG12" s="4"/>
      <c r="AH12" s="4"/>
      <c r="AI12" s="4"/>
      <c r="AJ12" s="4"/>
      <c r="AK12" s="4"/>
      <c r="AL12" s="4"/>
      <c r="AM12" s="4"/>
    </row>
    <row r="13" spans="1:39" x14ac:dyDescent="0.3">
      <c r="A13">
        <v>827.93320000000006</v>
      </c>
      <c r="B13">
        <v>224.87200000000001</v>
      </c>
      <c r="C13">
        <f t="shared" si="0"/>
        <v>22.487200000000001</v>
      </c>
      <c r="G13" s="10">
        <v>1008.7243999999999</v>
      </c>
      <c r="H13" s="4">
        <v>5970.3720000000003</v>
      </c>
      <c r="I13" s="4">
        <f t="shared" si="2"/>
        <v>597.03719999999998</v>
      </c>
      <c r="J13" s="10">
        <v>952.58569999999997</v>
      </c>
      <c r="K13" s="4">
        <v>6807.3095999999996</v>
      </c>
      <c r="L13" s="4">
        <f t="shared" si="3"/>
        <v>680.73095999999998</v>
      </c>
      <c r="M13" s="10">
        <v>863.42849999999999</v>
      </c>
      <c r="N13" s="4">
        <v>5125.2543999999998</v>
      </c>
      <c r="O13" s="11">
        <f t="shared" si="4"/>
        <v>512.52544</v>
      </c>
      <c r="P13" s="10">
        <v>829.37660000000005</v>
      </c>
      <c r="Q13" s="4">
        <v>5904.3419999999996</v>
      </c>
      <c r="R13" s="11">
        <f t="shared" si="5"/>
        <v>590.43419999999992</v>
      </c>
      <c r="S13" s="10">
        <v>766.98364000000004</v>
      </c>
      <c r="T13" s="4">
        <v>4815.0439999999999</v>
      </c>
      <c r="U13" s="11">
        <f t="shared" si="6"/>
        <v>481.50439999999998</v>
      </c>
      <c r="V13" s="4">
        <v>760.81500000000005</v>
      </c>
      <c r="W13" s="4">
        <v>7991.366</v>
      </c>
      <c r="X13" s="4">
        <f t="shared" si="7"/>
        <v>799.13660000000004</v>
      </c>
      <c r="Y13" s="4">
        <v>716.95050000000003</v>
      </c>
      <c r="Z13" s="4">
        <v>7991.6787000000004</v>
      </c>
      <c r="AA13" s="11">
        <f t="shared" si="8"/>
        <v>799.16786999999999</v>
      </c>
      <c r="AB13" s="4"/>
      <c r="AC13" s="4"/>
      <c r="AD13" s="4"/>
      <c r="AE13" s="4"/>
      <c r="AF13" s="4"/>
      <c r="AG13" s="4"/>
      <c r="AH13" s="4"/>
      <c r="AI13" s="4"/>
      <c r="AJ13" s="4"/>
      <c r="AK13" s="4"/>
      <c r="AL13" s="4"/>
      <c r="AM13" s="4"/>
    </row>
    <row r="14" spans="1:39" x14ac:dyDescent="0.3">
      <c r="A14">
        <v>808.02449999999999</v>
      </c>
      <c r="B14">
        <v>306.21026999999998</v>
      </c>
      <c r="C14">
        <f t="shared" si="0"/>
        <v>30.621026999999998</v>
      </c>
      <c r="G14" s="10">
        <v>1031.2977000000001</v>
      </c>
      <c r="H14" s="4">
        <v>7098.415</v>
      </c>
      <c r="I14" s="4">
        <f t="shared" si="2"/>
        <v>709.8415</v>
      </c>
      <c r="J14" s="10">
        <v>968.46469999999999</v>
      </c>
      <c r="K14" s="4">
        <v>7592.4516999999996</v>
      </c>
      <c r="L14" s="4">
        <f t="shared" si="3"/>
        <v>759.24516999999992</v>
      </c>
      <c r="M14" s="10">
        <v>882.42163000000005</v>
      </c>
      <c r="N14" s="4">
        <v>6096.2714999999998</v>
      </c>
      <c r="O14" s="11">
        <f t="shared" si="4"/>
        <v>609.62715000000003</v>
      </c>
      <c r="P14" s="10">
        <v>839.18669999999997</v>
      </c>
      <c r="Q14" s="4">
        <v>6535.6815999999999</v>
      </c>
      <c r="R14" s="11">
        <f t="shared" si="5"/>
        <v>653.56816000000003</v>
      </c>
      <c r="S14" s="10">
        <v>774.45807000000002</v>
      </c>
      <c r="T14" s="4">
        <v>5298.9650000000001</v>
      </c>
      <c r="U14" s="11">
        <f t="shared" si="6"/>
        <v>529.89650000000006</v>
      </c>
      <c r="V14" s="4"/>
      <c r="W14" s="4"/>
      <c r="X14" s="4"/>
      <c r="Y14" s="4"/>
      <c r="Z14" s="4"/>
      <c r="AA14" s="4"/>
      <c r="AB14" s="4"/>
      <c r="AC14" s="4"/>
      <c r="AD14" s="4"/>
      <c r="AE14" s="4"/>
      <c r="AF14" s="4"/>
      <c r="AG14" s="4"/>
      <c r="AH14" s="4"/>
      <c r="AI14" s="4"/>
      <c r="AJ14" s="4"/>
      <c r="AK14" s="4"/>
      <c r="AL14" s="4"/>
      <c r="AM14" s="4"/>
    </row>
    <row r="15" spans="1:39" x14ac:dyDescent="0.3">
      <c r="A15">
        <v>797.24080000000004</v>
      </c>
      <c r="B15">
        <v>361.8426</v>
      </c>
      <c r="C15">
        <f t="shared" si="0"/>
        <v>36.184260000000002</v>
      </c>
      <c r="G15" s="10">
        <v>1049.0453</v>
      </c>
      <c r="H15" s="4">
        <v>7992.5186000000003</v>
      </c>
      <c r="I15" s="4">
        <f t="shared" si="2"/>
        <v>799.25186000000008</v>
      </c>
      <c r="J15" s="10">
        <v>977.02655000000004</v>
      </c>
      <c r="K15" s="4">
        <v>7989.826</v>
      </c>
      <c r="L15" s="4">
        <f t="shared" si="3"/>
        <v>798.98260000000005</v>
      </c>
      <c r="M15" s="10">
        <v>899.70299999999997</v>
      </c>
      <c r="N15" s="4">
        <v>7022.4296999999997</v>
      </c>
      <c r="O15" s="11">
        <f t="shared" si="4"/>
        <v>702.24297000000001</v>
      </c>
      <c r="P15" s="10">
        <v>848.84173999999996</v>
      </c>
      <c r="Q15" s="4">
        <v>7192.6635999999999</v>
      </c>
      <c r="R15" s="11">
        <f t="shared" si="5"/>
        <v>719.26635999999996</v>
      </c>
      <c r="S15" s="10">
        <v>780.53229999999996</v>
      </c>
      <c r="T15" s="4">
        <v>5766.8696</v>
      </c>
      <c r="U15" s="11">
        <f t="shared" si="6"/>
        <v>576.68696</v>
      </c>
      <c r="V15" s="4"/>
      <c r="W15" s="4"/>
      <c r="X15" s="4"/>
      <c r="Y15" s="4"/>
      <c r="Z15" s="4"/>
      <c r="AA15" s="4"/>
      <c r="AB15" s="4"/>
      <c r="AC15" s="4"/>
      <c r="AD15" s="4"/>
      <c r="AE15" s="4"/>
      <c r="AF15" s="4"/>
      <c r="AG15" s="4"/>
      <c r="AH15" s="4"/>
      <c r="AI15" s="4"/>
      <c r="AJ15" s="4"/>
      <c r="AK15" s="4"/>
      <c r="AL15" s="4"/>
      <c r="AM15" s="4"/>
    </row>
    <row r="16" spans="1:39" x14ac:dyDescent="0.3">
      <c r="A16">
        <v>787.28687000000002</v>
      </c>
      <c r="B16">
        <v>430.28946000000002</v>
      </c>
      <c r="C16">
        <f t="shared" si="0"/>
        <v>43.028946000000005</v>
      </c>
      <c r="M16" s="10">
        <v>916.82950000000005</v>
      </c>
      <c r="N16" s="4">
        <v>7990.2550000000001</v>
      </c>
      <c r="O16" s="11">
        <f t="shared" si="4"/>
        <v>799.02549999999997</v>
      </c>
      <c r="P16" s="10">
        <v>860.21014000000002</v>
      </c>
      <c r="Q16" s="4">
        <v>7993.8633</v>
      </c>
      <c r="R16" s="11">
        <f t="shared" si="5"/>
        <v>799.38633000000004</v>
      </c>
      <c r="S16" s="10">
        <v>790.03186000000005</v>
      </c>
      <c r="T16" s="4">
        <v>6433.4679999999998</v>
      </c>
      <c r="U16" s="11">
        <f t="shared" si="6"/>
        <v>643.34680000000003</v>
      </c>
      <c r="V16" s="4"/>
      <c r="W16" s="4"/>
      <c r="X16" s="4"/>
      <c r="Y16" s="4"/>
      <c r="Z16" s="4"/>
      <c r="AA16" s="4"/>
      <c r="AB16" s="4"/>
      <c r="AC16" s="4"/>
      <c r="AD16" s="4"/>
      <c r="AE16" s="4"/>
      <c r="AF16" s="4"/>
      <c r="AG16" s="4"/>
      <c r="AH16" s="4"/>
      <c r="AI16" s="4"/>
      <c r="AJ16" s="4"/>
      <c r="AK16" s="4"/>
      <c r="AL16" s="4"/>
      <c r="AM16" s="4"/>
    </row>
    <row r="17" spans="1:39" x14ac:dyDescent="0.3">
      <c r="A17">
        <v>775.67409999999995</v>
      </c>
      <c r="B17">
        <v>515.84216000000004</v>
      </c>
      <c r="C17">
        <f t="shared" si="0"/>
        <v>51.584216000000005</v>
      </c>
      <c r="N17" s="4"/>
      <c r="O17" s="4"/>
      <c r="P17" s="4"/>
      <c r="Q17" s="4"/>
      <c r="R17" s="4"/>
      <c r="S17" s="10">
        <v>800.46789999999999</v>
      </c>
      <c r="T17" s="4">
        <v>7285.9565000000002</v>
      </c>
      <c r="U17" s="11">
        <f t="shared" si="6"/>
        <v>728.59564999999998</v>
      </c>
      <c r="V17" s="4"/>
      <c r="W17" s="4"/>
      <c r="X17" s="4"/>
      <c r="Y17" s="4"/>
      <c r="Z17" s="4"/>
      <c r="AA17" s="4"/>
      <c r="AB17" s="4"/>
      <c r="AC17" s="4"/>
      <c r="AD17" s="4"/>
      <c r="AE17" s="4"/>
      <c r="AF17" s="4"/>
      <c r="AG17" s="4"/>
      <c r="AH17" s="4"/>
      <c r="AI17" s="4"/>
      <c r="AJ17" s="4"/>
      <c r="AK17" s="4"/>
      <c r="AL17" s="4"/>
      <c r="AM17" s="4"/>
    </row>
    <row r="18" spans="1:39" x14ac:dyDescent="0.3">
      <c r="A18">
        <v>761.78009999999995</v>
      </c>
      <c r="B18">
        <v>614.23157000000003</v>
      </c>
      <c r="C18">
        <f t="shared" si="0"/>
        <v>61.423157000000003</v>
      </c>
      <c r="N18" s="4"/>
      <c r="O18" s="4"/>
      <c r="P18" s="4"/>
      <c r="Q18" s="4"/>
      <c r="R18" s="4"/>
      <c r="S18" s="10">
        <v>808.72393999999997</v>
      </c>
      <c r="T18" s="4">
        <v>8000.6405999999997</v>
      </c>
      <c r="U18" s="11">
        <f t="shared" si="6"/>
        <v>800.06405999999993</v>
      </c>
      <c r="V18" s="4"/>
      <c r="W18" s="4"/>
      <c r="X18" s="4"/>
      <c r="Y18" s="4"/>
      <c r="Z18" s="4"/>
      <c r="AA18" s="4"/>
      <c r="AB18" s="4"/>
      <c r="AC18" s="4"/>
      <c r="AD18" s="4"/>
      <c r="AE18" s="4"/>
      <c r="AF18" s="4"/>
      <c r="AG18" s="4"/>
      <c r="AH18" s="4"/>
      <c r="AI18" s="4"/>
      <c r="AJ18" s="4"/>
      <c r="AK18" s="4"/>
      <c r="AL18" s="4"/>
      <c r="AM18" s="4"/>
    </row>
    <row r="19" spans="1:39" x14ac:dyDescent="0.3">
      <c r="A19">
        <v>750.99689999999998</v>
      </c>
      <c r="B19">
        <v>699.77840000000003</v>
      </c>
      <c r="C19">
        <f t="shared" si="0"/>
        <v>69.97784</v>
      </c>
    </row>
    <row r="20" spans="1:39" x14ac:dyDescent="0.3">
      <c r="A20">
        <v>742.08025999999995</v>
      </c>
      <c r="B20">
        <v>785.31190000000004</v>
      </c>
      <c r="C20">
        <f t="shared" si="0"/>
        <v>78.531190000000009</v>
      </c>
    </row>
    <row r="21" spans="1:39" x14ac:dyDescent="0.3">
      <c r="A21">
        <v>730.46795999999995</v>
      </c>
      <c r="B21">
        <v>900.77904999999998</v>
      </c>
      <c r="C21">
        <f t="shared" si="0"/>
        <v>90.077905000000001</v>
      </c>
    </row>
    <row r="22" spans="1:39" x14ac:dyDescent="0.3">
      <c r="A22">
        <v>721.49969999999996</v>
      </c>
      <c r="B22">
        <v>1001.27014</v>
      </c>
      <c r="C22">
        <f t="shared" si="0"/>
        <v>100.127014</v>
      </c>
    </row>
    <row r="23" spans="1:39" x14ac:dyDescent="0.3">
      <c r="A23">
        <v>712.48004000000003</v>
      </c>
      <c r="B23">
        <v>1129.5393999999999</v>
      </c>
      <c r="C23">
        <f t="shared" si="0"/>
        <v>112.95393999999999</v>
      </c>
    </row>
    <row r="24" spans="1:39" x14ac:dyDescent="0.3">
      <c r="A24">
        <v>704.86053000000004</v>
      </c>
      <c r="B24">
        <v>1267.414</v>
      </c>
      <c r="C24">
        <f t="shared" si="0"/>
        <v>126.7414</v>
      </c>
    </row>
    <row r="25" spans="1:39" x14ac:dyDescent="0.3">
      <c r="A25">
        <v>698.32965000000002</v>
      </c>
      <c r="B25">
        <v>1395.6655000000001</v>
      </c>
      <c r="C25">
        <f t="shared" si="0"/>
        <v>139.56655000000001</v>
      </c>
    </row>
    <row r="26" spans="1:39" x14ac:dyDescent="0.3">
      <c r="A26">
        <v>692.26599999999996</v>
      </c>
      <c r="B26">
        <v>1555.9648</v>
      </c>
      <c r="C26">
        <f t="shared" si="0"/>
        <v>155.59647999999999</v>
      </c>
    </row>
    <row r="27" spans="1:39" x14ac:dyDescent="0.3">
      <c r="A27">
        <v>684.95870000000002</v>
      </c>
      <c r="B27">
        <v>1761.1449</v>
      </c>
      <c r="C27">
        <f t="shared" si="0"/>
        <v>176.11448999999999</v>
      </c>
    </row>
    <row r="28" spans="1:39" x14ac:dyDescent="0.3">
      <c r="A28">
        <v>679.3623</v>
      </c>
      <c r="B28">
        <v>1959.9024999999999</v>
      </c>
      <c r="C28">
        <f t="shared" si="0"/>
        <v>195.99025</v>
      </c>
    </row>
    <row r="29" spans="1:39" x14ac:dyDescent="0.3">
      <c r="A29">
        <v>674.07745</v>
      </c>
      <c r="B29">
        <v>2184.2988</v>
      </c>
      <c r="C29">
        <f t="shared" si="0"/>
        <v>218.42988</v>
      </c>
    </row>
    <row r="30" spans="1:39" x14ac:dyDescent="0.3">
      <c r="A30">
        <v>668.17089999999996</v>
      </c>
      <c r="B30">
        <v>2440.7507000000001</v>
      </c>
      <c r="C30">
        <f t="shared" si="0"/>
        <v>244.07507000000001</v>
      </c>
    </row>
    <row r="31" spans="1:39" x14ac:dyDescent="0.3">
      <c r="A31">
        <v>663.81970000000001</v>
      </c>
      <c r="B31">
        <v>2687.5763999999999</v>
      </c>
      <c r="C31">
        <f t="shared" si="0"/>
        <v>268.75763999999998</v>
      </c>
    </row>
    <row r="32" spans="1:39" x14ac:dyDescent="0.3">
      <c r="A32">
        <v>659.93535999999995</v>
      </c>
      <c r="B32">
        <v>2947.2192</v>
      </c>
      <c r="C32">
        <f t="shared" si="0"/>
        <v>294.72192000000001</v>
      </c>
    </row>
    <row r="33" spans="1:3" x14ac:dyDescent="0.3">
      <c r="A33">
        <v>656.20734000000004</v>
      </c>
      <c r="B33">
        <v>3251.7323999999999</v>
      </c>
      <c r="C33">
        <f t="shared" si="0"/>
        <v>325.17323999999996</v>
      </c>
    </row>
    <row r="34" spans="1:3" x14ac:dyDescent="0.3">
      <c r="A34">
        <v>652.94719999999995</v>
      </c>
      <c r="B34">
        <v>3633.1655000000001</v>
      </c>
      <c r="C34">
        <f t="shared" si="0"/>
        <v>363.31655000000001</v>
      </c>
    </row>
    <row r="35" spans="1:3" x14ac:dyDescent="0.3">
      <c r="A35">
        <v>649.9973</v>
      </c>
      <c r="B35">
        <v>3960.1091000000001</v>
      </c>
      <c r="C35">
        <f t="shared" si="0"/>
        <v>396.01091000000002</v>
      </c>
    </row>
    <row r="36" spans="1:3" x14ac:dyDescent="0.3">
      <c r="A36">
        <v>647.67039999999997</v>
      </c>
      <c r="B36">
        <v>4338.3306000000002</v>
      </c>
      <c r="C36">
        <f t="shared" si="0"/>
        <v>433.83306000000005</v>
      </c>
    </row>
    <row r="37" spans="1:3" x14ac:dyDescent="0.3">
      <c r="A37">
        <v>645.65295000000003</v>
      </c>
      <c r="B37">
        <v>4613.9853999999996</v>
      </c>
      <c r="C37">
        <f t="shared" si="0"/>
        <v>461.39853999999997</v>
      </c>
    </row>
    <row r="38" spans="1:3" x14ac:dyDescent="0.3">
      <c r="A38">
        <v>643.94745</v>
      </c>
      <c r="B38">
        <v>4944.1255000000001</v>
      </c>
      <c r="C38">
        <f t="shared" si="0"/>
        <v>494.41255000000001</v>
      </c>
    </row>
    <row r="39" spans="1:3" x14ac:dyDescent="0.3">
      <c r="A39">
        <v>642.24170000000004</v>
      </c>
      <c r="B39">
        <v>5258.2397000000001</v>
      </c>
      <c r="C39">
        <f t="shared" si="0"/>
        <v>525.82397000000003</v>
      </c>
    </row>
    <row r="40" spans="1:3" x14ac:dyDescent="0.3">
      <c r="A40">
        <v>641.15826000000004</v>
      </c>
      <c r="B40">
        <v>5581.9650000000001</v>
      </c>
      <c r="C40">
        <f t="shared" si="0"/>
        <v>558.19650000000001</v>
      </c>
    </row>
    <row r="41" spans="1:3" x14ac:dyDescent="0.3">
      <c r="A41">
        <v>638.83745999999996</v>
      </c>
      <c r="B41">
        <v>6322.3649999999998</v>
      </c>
      <c r="C41">
        <f t="shared" si="0"/>
        <v>632.23649999999998</v>
      </c>
    </row>
    <row r="42" spans="1:3" x14ac:dyDescent="0.3">
      <c r="A42">
        <v>637.59973000000002</v>
      </c>
      <c r="B42">
        <v>6716.6045000000004</v>
      </c>
      <c r="C42">
        <f t="shared" si="0"/>
        <v>671.66045000000008</v>
      </c>
    </row>
    <row r="43" spans="1:3" x14ac:dyDescent="0.3">
      <c r="A43">
        <v>635.58765000000005</v>
      </c>
      <c r="B43">
        <v>7315.9769999999999</v>
      </c>
      <c r="C43">
        <f t="shared" si="0"/>
        <v>731.59770000000003</v>
      </c>
    </row>
    <row r="44" spans="1:3" x14ac:dyDescent="0.3">
      <c r="A44">
        <v>634.81757000000005</v>
      </c>
      <c r="B44">
        <v>7771.1103999999996</v>
      </c>
      <c r="C44">
        <f t="shared" si="0"/>
        <v>777.11104</v>
      </c>
    </row>
    <row r="45" spans="1:3" x14ac:dyDescent="0.3">
      <c r="A45">
        <v>633.89670000000001</v>
      </c>
      <c r="B45">
        <v>8514.7049999999999</v>
      </c>
      <c r="C45">
        <f t="shared" si="0"/>
        <v>851.47050000000002</v>
      </c>
    </row>
    <row r="46" spans="1:3" x14ac:dyDescent="0.3">
      <c r="A46">
        <v>632.21010000000001</v>
      </c>
      <c r="B46">
        <v>9969.8439999999991</v>
      </c>
      <c r="C46">
        <f>B46/10</f>
        <v>996.98439999999994</v>
      </c>
    </row>
  </sheetData>
  <mergeCells count="14">
    <mergeCell ref="AK2:AM2"/>
    <mergeCell ref="D1:AM1"/>
    <mergeCell ref="A1:C1"/>
    <mergeCell ref="D2:F2"/>
    <mergeCell ref="V2:X2"/>
    <mergeCell ref="Y2:AA2"/>
    <mergeCell ref="AB2:AD2"/>
    <mergeCell ref="AE2:AG2"/>
    <mergeCell ref="AH2:AJ2"/>
    <mergeCell ref="G2:I2"/>
    <mergeCell ref="J2:L2"/>
    <mergeCell ref="M2:O2"/>
    <mergeCell ref="P2:R2"/>
    <mergeCell ref="S2:U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67342-25DF-452E-9046-E35BED8F9B88}">
  <dimension ref="A1:B12"/>
  <sheetViews>
    <sheetView workbookViewId="0">
      <selection activeCell="B4" sqref="B4"/>
    </sheetView>
  </sheetViews>
  <sheetFormatPr defaultRowHeight="14.4" x14ac:dyDescent="0.3"/>
  <cols>
    <col min="2" max="2" width="105.6640625" customWidth="1"/>
  </cols>
  <sheetData>
    <row r="1" spans="1:2" x14ac:dyDescent="0.3">
      <c r="A1" t="s">
        <v>174</v>
      </c>
      <c r="B1" t="s">
        <v>173</v>
      </c>
    </row>
    <row r="2" spans="1:2" ht="28.8" x14ac:dyDescent="0.3">
      <c r="A2" s="79" t="s">
        <v>175</v>
      </c>
      <c r="B2" s="78" t="s">
        <v>165</v>
      </c>
    </row>
    <row r="3" spans="1:2" ht="23.4" customHeight="1" x14ac:dyDescent="0.3">
      <c r="A3" s="79" t="s">
        <v>176</v>
      </c>
      <c r="B3" s="78" t="s">
        <v>163</v>
      </c>
    </row>
    <row r="4" spans="1:2" ht="28.8" x14ac:dyDescent="0.3">
      <c r="A4" s="79" t="s">
        <v>177</v>
      </c>
      <c r="B4" s="78" t="s">
        <v>166</v>
      </c>
    </row>
    <row r="5" spans="1:2" ht="30.6" x14ac:dyDescent="0.3">
      <c r="A5" s="79" t="s">
        <v>178</v>
      </c>
      <c r="B5" s="78" t="s">
        <v>169</v>
      </c>
    </row>
    <row r="6" spans="1:2" ht="27.6" x14ac:dyDescent="0.3">
      <c r="A6" s="79" t="s">
        <v>179</v>
      </c>
      <c r="B6" s="78" t="s">
        <v>171</v>
      </c>
    </row>
    <row r="7" spans="1:2" ht="23.4" customHeight="1" x14ac:dyDescent="0.3">
      <c r="A7" s="79" t="s">
        <v>180</v>
      </c>
      <c r="B7" s="78" t="s">
        <v>170</v>
      </c>
    </row>
    <row r="8" spans="1:2" ht="23.4" customHeight="1" x14ac:dyDescent="0.3">
      <c r="A8" s="79" t="s">
        <v>181</v>
      </c>
      <c r="B8" s="78" t="s">
        <v>172</v>
      </c>
    </row>
    <row r="9" spans="1:2" ht="23.4" customHeight="1" x14ac:dyDescent="0.3">
      <c r="A9" s="79" t="s">
        <v>182</v>
      </c>
      <c r="B9" s="78" t="s">
        <v>164</v>
      </c>
    </row>
    <row r="10" spans="1:2" ht="31.8" customHeight="1" x14ac:dyDescent="0.3">
      <c r="A10" s="79" t="s">
        <v>183</v>
      </c>
      <c r="B10" s="78" t="s">
        <v>162</v>
      </c>
    </row>
    <row r="11" spans="1:2" ht="30" customHeight="1" x14ac:dyDescent="0.3">
      <c r="A11" s="79" t="s">
        <v>184</v>
      </c>
      <c r="B11" s="78" t="s">
        <v>168</v>
      </c>
    </row>
    <row r="12" spans="1:2" ht="27.6" x14ac:dyDescent="0.3">
      <c r="A12" s="79" t="s">
        <v>185</v>
      </c>
      <c r="B12" s="78"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Overview</vt:lpstr>
      <vt:lpstr>Melt Properties</vt:lpstr>
      <vt:lpstr>Crystal Properties</vt:lpstr>
      <vt:lpstr>Vapour Properties</vt:lpstr>
      <vt:lpstr>Holtz et al 2001 Curves</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Issac Jacques</dc:creator>
  <cp:lastModifiedBy>Issac Jacques</cp:lastModifiedBy>
  <dcterms:created xsi:type="dcterms:W3CDTF">2019-07-23T12:25:04Z</dcterms:created>
  <dcterms:modified xsi:type="dcterms:W3CDTF">2020-12-07T20:15:51Z</dcterms:modified>
</cp:coreProperties>
</file>