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Juraj Majzlan\Documents\Juro\copiapite-thermo\"/>
    </mc:Choice>
  </mc:AlternateContent>
  <xr:revisionPtr revIDLastSave="0" documentId="13_ncr:1_{469277CA-4139-45B7-B68D-FB9C46792B2D}" xr6:coauthVersionLast="36" xr6:coauthVersionMax="47" xr10:uidLastSave="{00000000-0000-0000-0000-000000000000}"/>
  <bookViews>
    <workbookView xWindow="-105" yWindow="-105" windowWidth="19425" windowHeight="10425" activeTab="7" xr2:uid="{2B567BAC-2A4E-4D78-B50D-CFA371B3C3F2}"/>
  </bookViews>
  <sheets>
    <sheet name="Cp" sheetId="1" r:id="rId1"/>
    <sheet name="fits" sheetId="2" r:id="rId2"/>
    <sheet name="S" sheetId="3" r:id="rId3"/>
    <sheet name="S-6 sigdig" sheetId="4" r:id="rId4"/>
    <sheet name="H" sheetId="5" r:id="rId5"/>
    <sheet name="cycle" sheetId="6" r:id="rId6"/>
    <sheet name="lepido" sheetId="7" r:id="rId7"/>
    <sheet name="G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7" l="1"/>
  <c r="I6" i="8" l="1"/>
  <c r="E6" i="8" l="1"/>
  <c r="E7" i="8" s="1"/>
  <c r="F6" i="8" l="1"/>
  <c r="F7" i="8" s="1"/>
  <c r="B34" i="6" l="1"/>
  <c r="F36" i="6"/>
  <c r="G38" i="6"/>
  <c r="F38" i="6"/>
  <c r="E38" i="6"/>
  <c r="D38" i="6"/>
  <c r="C38" i="6"/>
  <c r="G37" i="6"/>
  <c r="C33" i="6"/>
  <c r="B23" i="6"/>
  <c r="H23" i="6" s="1"/>
  <c r="B22" i="6"/>
  <c r="F22" i="6" s="1"/>
  <c r="C21" i="6"/>
  <c r="C28" i="6" s="1"/>
  <c r="I27" i="6"/>
  <c r="I26" i="6"/>
  <c r="I21" i="6"/>
  <c r="H27" i="6"/>
  <c r="H26" i="6"/>
  <c r="H25" i="6"/>
  <c r="H24" i="6"/>
  <c r="H21" i="6"/>
  <c r="G27" i="6"/>
  <c r="G24" i="6"/>
  <c r="E27" i="6"/>
  <c r="D25" i="6"/>
  <c r="D24" i="6"/>
  <c r="C27" i="6"/>
  <c r="C7" i="6"/>
  <c r="B7" i="6"/>
  <c r="B5" i="7"/>
  <c r="D28" i="6" l="1"/>
  <c r="G39" i="6"/>
  <c r="C39" i="6"/>
  <c r="E35" i="6"/>
  <c r="D34" i="6"/>
  <c r="D39" i="6" s="1"/>
  <c r="E39" i="6"/>
  <c r="F39" i="6"/>
  <c r="F23" i="6"/>
  <c r="F28" i="6" s="1"/>
  <c r="G23" i="6"/>
  <c r="G22" i="6"/>
  <c r="G28" i="6" s="1"/>
  <c r="H22" i="6"/>
  <c r="H28" i="6" s="1"/>
  <c r="E22" i="6"/>
  <c r="E28" i="6" s="1"/>
  <c r="I22" i="6"/>
  <c r="I28" i="6" s="1"/>
  <c r="B32" i="5"/>
  <c r="C10" i="6" s="1"/>
  <c r="B31" i="5"/>
  <c r="B10" i="6" s="1"/>
  <c r="G16" i="6" s="1"/>
  <c r="E5" i="8" s="1"/>
  <c r="I5" i="8" s="1"/>
  <c r="J4" i="1"/>
  <c r="C17" i="8" l="1"/>
  <c r="E8" i="8"/>
  <c r="C14" i="8" s="1"/>
  <c r="C15" i="8" s="1"/>
  <c r="C16" i="8" s="1"/>
  <c r="H16" i="6"/>
  <c r="F5" i="8" s="1"/>
  <c r="H13" i="6"/>
  <c r="G13" i="6"/>
  <c r="D17" i="8" l="1"/>
  <c r="F8" i="8"/>
  <c r="D14" i="8" s="1"/>
  <c r="D15" i="8" s="1"/>
  <c r="D16" i="8" s="1"/>
</calcChain>
</file>

<file path=xl/sharedStrings.xml><?xml version="1.0" encoding="utf-8"?>
<sst xmlns="http://schemas.openxmlformats.org/spreadsheetml/2006/main" count="294" uniqueCount="162">
  <si>
    <t>Cp-Daten: Alumino-Copiapite</t>
  </si>
  <si>
    <t>gemessen: Juni 2016</t>
  </si>
  <si>
    <t>Cp(PPMS) at 285 K</t>
  </si>
  <si>
    <t>(J/mol.K)</t>
  </si>
  <si>
    <t>MG = 1212.06 g/mol</t>
  </si>
  <si>
    <t>Cp(DSC)   at 285 K</t>
  </si>
  <si>
    <t>PPMS1</t>
  </si>
  <si>
    <t>DSC1</t>
  </si>
  <si>
    <t>PPMS-DSC agreement at 285 K:</t>
  </si>
  <si>
    <t>%</t>
  </si>
  <si>
    <t>100(Cp(PPMS)-Cp(DSC))/Cp(DSC)</t>
  </si>
  <si>
    <t>So (2-298 K)</t>
  </si>
  <si>
    <t>sigma-So</t>
  </si>
  <si>
    <t>8.85 mg</t>
  </si>
  <si>
    <t>T</t>
  </si>
  <si>
    <t>Cp</t>
  </si>
  <si>
    <t>sigma-Cp</t>
  </si>
  <si>
    <t>(K)</t>
  </si>
  <si>
    <t>S</t>
  </si>
  <si>
    <t>data Al-cop-all.txt</t>
  </si>
  <si>
    <t>fit 1</t>
  </si>
  <si>
    <t>valid 0.0-15.0</t>
  </si>
  <si>
    <t>limit 0.0-12.25</t>
  </si>
  <si>
    <t>polynomial</t>
  </si>
  <si>
    <t>1.0,0.8257398040168482</t>
  </si>
  <si>
    <t>2.0,-0.5215347254443259</t>
  </si>
  <si>
    <t>3.0,0.10602514230913584</t>
  </si>
  <si>
    <t>4.0,-0.006002501747289557</t>
  </si>
  <si>
    <t>5.0,0.00011157235338332683</t>
  </si>
  <si>
    <t>fit 2</t>
  </si>
  <si>
    <t>valid 10.0-120.0</t>
  </si>
  <si>
    <t>limit 12.25-96.6</t>
  </si>
  <si>
    <t>0.0,-36.02191373303123</t>
  </si>
  <si>
    <t>1.0,7.003455980168249</t>
  </si>
  <si>
    <t>2.0,-0.3603890786907807</t>
  </si>
  <si>
    <t>3.0,0.019472305020516577</t>
  </si>
  <si>
    <t>4.0,-0.0004765418479477217</t>
  </si>
  <si>
    <t>5.0,6.308540521042487e-06</t>
  </si>
  <si>
    <t>6.0,-4.4478872068642375e-08</t>
  </si>
  <si>
    <t>7.0,1.2280794922298637e-10</t>
  </si>
  <si>
    <t>8.0,2.346437041440402e-13</t>
  </si>
  <si>
    <t>9.0,-1.5588290875143808e-15</t>
  </si>
  <si>
    <t>fit 3</t>
  </si>
  <si>
    <t>valid 80.0-309.0</t>
  </si>
  <si>
    <t>limit 96.6-302.0</t>
  </si>
  <si>
    <t>0.0,3955.539749819287</t>
  </si>
  <si>
    <t>1.0,-194.60149497587327</t>
  </si>
  <si>
    <t>2.0,4.24465186301655</t>
  </si>
  <si>
    <t>3.0,-0.04935736961959794</t>
  </si>
  <si>
    <t>4.0,0.0003452422998473689</t>
  </si>
  <si>
    <t>5.0,-1.4930739842662312e-06</t>
  </si>
  <si>
    <t>6.0,3.908525690541244e-09</t>
  </si>
  <si>
    <t>7.0,-5.675721241598277e-12</t>
  </si>
  <si>
    <t>8.0,3.5085065248908198e-15</t>
  </si>
  <si>
    <t>EOF</t>
  </si>
  <si>
    <t>with 6 significant digits</t>
  </si>
  <si>
    <t>with 4 significant digits, for SI</t>
  </si>
  <si>
    <t>FUNCTION FIT</t>
  </si>
  <si>
    <t>CRUDE FIT</t>
  </si>
  <si>
    <t>H</t>
  </si>
  <si>
    <t>dH/T</t>
  </si>
  <si>
    <t>G</t>
  </si>
  <si>
    <t>'-G/T</t>
  </si>
  <si>
    <t>deltaK</t>
  </si>
  <si>
    <t>deltaCp</t>
  </si>
  <si>
    <t>deltaH</t>
  </si>
  <si>
    <t>deltadH/T</t>
  </si>
  <si>
    <t>deltaS</t>
  </si>
  <si>
    <t>deltaG</t>
  </si>
  <si>
    <t>delta(-G/T)</t>
  </si>
  <si>
    <t>K</t>
  </si>
  <si>
    <t>J/K</t>
  </si>
  <si>
    <t>J</t>
  </si>
  <si>
    <t>NaN</t>
  </si>
  <si>
    <t>*** reached the upper limit of function: fit 1</t>
  </si>
  <si>
    <t>*** reached the upper limit of function: fit 2</t>
  </si>
  <si>
    <t>Säurelösungskalorimeter</t>
  </si>
  <si>
    <t>DropID</t>
  </si>
  <si>
    <t>Al-Cop_1</t>
  </si>
  <si>
    <t>Al-Cop_2</t>
  </si>
  <si>
    <t>Al-Cop_3</t>
  </si>
  <si>
    <t>Masse Pellet [mg]</t>
  </si>
  <si>
    <t>Raumtemp [°C]</t>
  </si>
  <si>
    <t>Kalorimetertemp [°C]</t>
  </si>
  <si>
    <t>Molengewicht [g/mol]</t>
  </si>
  <si>
    <t>Mol Probe</t>
  </si>
  <si>
    <t>Wärmekapazität Raumtemp [kJ/mol]</t>
  </si>
  <si>
    <t>Wärmekapazität Kalorimeter [kJ/mol]</t>
  </si>
  <si>
    <t>Absolute Wärmeinhalt [J/Pellet]</t>
  </si>
  <si>
    <t>t0</t>
  </si>
  <si>
    <t>t1</t>
  </si>
  <si>
    <t>t2</t>
  </si>
  <si>
    <t>Dauer</t>
  </si>
  <si>
    <t>t3</t>
  </si>
  <si>
    <t>t Baseline return</t>
  </si>
  <si>
    <t>V(0)</t>
  </si>
  <si>
    <t>V(0+t1)</t>
  </si>
  <si>
    <t>V(t2)</t>
  </si>
  <si>
    <t>V(t2+t3)</t>
  </si>
  <si>
    <t>Mittelwert Baseline [counts/min]</t>
  </si>
  <si>
    <t>Baselinekorrektur [Korrektur]</t>
  </si>
  <si>
    <t>% Baselinekorrektur</t>
  </si>
  <si>
    <t>Absolute Counts</t>
  </si>
  <si>
    <t>Kalibrationsfaktor</t>
  </si>
  <si>
    <t>dH [J]</t>
  </si>
  <si>
    <t>dH [kJ/g]</t>
  </si>
  <si>
    <t>dH [kJ/mol]</t>
  </si>
  <si>
    <t>reaction #</t>
  </si>
  <si>
    <t>FeOOH·0.162H2O + 3H+ = Fe3+ + 2.162H2O(aq)</t>
  </si>
  <si>
    <t>FeOOH·0.162H2O = FeOOH + 0.162H2O (l)</t>
  </si>
  <si>
    <t>A</t>
  </si>
  <si>
    <t>H2O (l) = H2O (aq)</t>
  </si>
  <si>
    <t>FeOOH + 3H+ = Fe3+ + 2H2O</t>
  </si>
  <si>
    <t>enthalpies of solution in 5 N HCl at 298.15 K</t>
  </si>
  <si>
    <t>formation enthalpies</t>
  </si>
  <si>
    <t>MgO</t>
  </si>
  <si>
    <r>
      <t>FeOOH·0.162H</t>
    </r>
    <r>
      <rPr>
        <vertAlign val="subscript"/>
        <sz val="12"/>
        <rFont val="Aptos"/>
        <family val="2"/>
      </rPr>
      <t>2</t>
    </r>
    <r>
      <rPr>
        <sz val="12"/>
        <rFont val="Aptos"/>
        <family val="2"/>
      </rPr>
      <t>O</t>
    </r>
  </si>
  <si>
    <t>FeOOH</t>
  </si>
  <si>
    <r>
      <rPr>
        <sz val="12"/>
        <color rgb="FF000000"/>
        <rFont val="Symbol"/>
        <family val="1"/>
        <charset val="2"/>
      </rPr>
      <t>a</t>
    </r>
    <r>
      <rPr>
        <sz val="12"/>
        <color indexed="8"/>
        <rFont val="Aptos"/>
        <family val="2"/>
      </rPr>
      <t>-MgSO</t>
    </r>
    <r>
      <rPr>
        <vertAlign val="subscript"/>
        <sz val="12"/>
        <color indexed="8"/>
        <rFont val="Aptos"/>
        <family val="2"/>
      </rPr>
      <t>4</t>
    </r>
  </si>
  <si>
    <t>Lemire et al. 2019, TDB volume Fe-II</t>
  </si>
  <si>
    <r>
      <t>H</t>
    </r>
    <r>
      <rPr>
        <vertAlign val="subscript"/>
        <sz val="12"/>
        <color indexed="8"/>
        <rFont val="Aptos"/>
        <family val="2"/>
      </rPr>
      <t>2</t>
    </r>
    <r>
      <rPr>
        <sz val="12"/>
        <color indexed="8"/>
        <rFont val="Aptos"/>
        <family val="2"/>
      </rPr>
      <t>O</t>
    </r>
  </si>
  <si>
    <t>enthalpy of water desorption from lepidocrocite</t>
  </si>
  <si>
    <r>
      <t>KAl(SO</t>
    </r>
    <r>
      <rPr>
        <vertAlign val="subscript"/>
        <sz val="12"/>
        <rFont val="Aptos"/>
      </rPr>
      <t>4</t>
    </r>
    <r>
      <rPr>
        <sz val="12"/>
        <rFont val="Aptos"/>
        <family val="2"/>
      </rPr>
      <t>)</t>
    </r>
    <r>
      <rPr>
        <vertAlign val="subscript"/>
        <sz val="12"/>
        <rFont val="Aptos"/>
      </rPr>
      <t>2</t>
    </r>
    <r>
      <rPr>
        <sz val="12"/>
        <rFont val="Aptos"/>
        <family val="2"/>
      </rPr>
      <t>·12H</t>
    </r>
    <r>
      <rPr>
        <vertAlign val="subscript"/>
        <sz val="12"/>
        <rFont val="Aptos"/>
      </rPr>
      <t>2</t>
    </r>
    <r>
      <rPr>
        <sz val="12"/>
        <rFont val="Aptos"/>
        <family val="2"/>
      </rPr>
      <t>O</t>
    </r>
  </si>
  <si>
    <r>
      <t>K</t>
    </r>
    <r>
      <rPr>
        <vertAlign val="subscript"/>
        <sz val="12"/>
        <rFont val="Aptos"/>
      </rPr>
      <t>2</t>
    </r>
    <r>
      <rPr>
        <sz val="12"/>
        <rFont val="Aptos"/>
        <family val="2"/>
      </rPr>
      <t>SO</t>
    </r>
    <r>
      <rPr>
        <vertAlign val="subscript"/>
        <sz val="12"/>
        <rFont val="Aptos"/>
      </rPr>
      <t>4</t>
    </r>
  </si>
  <si>
    <r>
      <t>Al</t>
    </r>
    <r>
      <rPr>
        <vertAlign val="subscript"/>
        <sz val="11"/>
        <color theme="1"/>
        <rFont val="Aptos Narrow"/>
        <scheme val="minor"/>
      </rPr>
      <t>2/3</t>
    </r>
    <r>
      <rPr>
        <sz val="11"/>
        <color theme="1"/>
        <rFont val="Aptos Narrow"/>
        <family val="2"/>
        <scheme val="minor"/>
      </rPr>
      <t>Fe</t>
    </r>
    <r>
      <rPr>
        <vertAlign val="superscript"/>
        <sz val="11"/>
        <color theme="1"/>
        <rFont val="Aptos Narrow"/>
        <family val="2"/>
        <scheme val="minor"/>
      </rPr>
      <t>3+</t>
    </r>
    <r>
      <rPr>
        <vertAlign val="subscript"/>
        <sz val="11"/>
        <color theme="1"/>
        <rFont val="Aptos Narrow"/>
        <family val="2"/>
        <scheme val="minor"/>
      </rPr>
      <t>4</t>
    </r>
    <r>
      <rPr>
        <sz val="11"/>
        <color theme="1"/>
        <rFont val="Aptos Narrow"/>
        <family val="2"/>
        <scheme val="minor"/>
      </rPr>
      <t>(SO</t>
    </r>
    <r>
      <rPr>
        <vertAlign val="subscript"/>
        <sz val="11"/>
        <color theme="1"/>
        <rFont val="Aptos Narrow"/>
        <family val="2"/>
        <scheme val="minor"/>
      </rPr>
      <t>4</t>
    </r>
    <r>
      <rPr>
        <sz val="11"/>
        <color theme="1"/>
        <rFont val="Aptos Narrow"/>
        <family val="2"/>
        <scheme val="minor"/>
      </rPr>
      <t>)</t>
    </r>
    <r>
      <rPr>
        <vertAlign val="subscript"/>
        <sz val="11"/>
        <color theme="1"/>
        <rFont val="Aptos Narrow"/>
        <family val="2"/>
        <scheme val="minor"/>
      </rPr>
      <t>6</t>
    </r>
    <r>
      <rPr>
        <sz val="11"/>
        <color theme="1"/>
        <rFont val="Aptos Narrow"/>
        <family val="2"/>
        <scheme val="minor"/>
      </rPr>
      <t>(OH)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 xml:space="preserve"> · 20H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O</t>
    </r>
  </si>
  <si>
    <t>MgSO4</t>
  </si>
  <si>
    <t>H2O</t>
  </si>
  <si>
    <t>Fe</t>
  </si>
  <si>
    <t>Mg</t>
  </si>
  <si>
    <t>Al</t>
  </si>
  <si>
    <t>O</t>
  </si>
  <si>
    <t>4FeOOH + (2/3)KAl(SO4)2·12H2O + 5MgSO4 + 11H2O = Al2/3Fe3+4(SO4)6(OH)2 · 20H2O + (1/3)K2SO4 + 5MgO</t>
  </si>
  <si>
    <t>check the reaction</t>
  </si>
  <si>
    <t>O2</t>
  </si>
  <si>
    <t>H2</t>
  </si>
  <si>
    <t>(2/3)Al + 4Fe + 6S + 23O2 + 21H2 = Al2/3Fe3+4(SO4)6(OH)2 · 20H2O</t>
  </si>
  <si>
    <t>DRH = 4DH3 + (2/3)DH7 + 5DH4 + 11DH5 - DH11 - (1/3)DH8 - 5DH1</t>
  </si>
  <si>
    <t>DfH = 4DH3 + (2/3)DH7 + 5DH4 + 11DH5 - DH11 - (1/3)DH8 - 5DH1 + 4DH14 + (2/3)DH17 + 5DH15 + 11DH16 - (1/3)DH18 - 5DH13</t>
  </si>
  <si>
    <r>
      <t>S</t>
    </r>
    <r>
      <rPr>
        <vertAlign val="superscript"/>
        <sz val="11"/>
        <color theme="1"/>
        <rFont val="Aptos Narrow"/>
        <scheme val="minor"/>
      </rPr>
      <t>o</t>
    </r>
    <r>
      <rPr>
        <sz val="11"/>
        <color theme="1"/>
        <rFont val="Aptos Narrow"/>
        <family val="2"/>
        <scheme val="minor"/>
      </rPr>
      <t xml:space="preserve"> (J K-1 mol-1)</t>
    </r>
  </si>
  <si>
    <t>RH95</t>
  </si>
  <si>
    <t>enthalpy of formation</t>
  </si>
  <si>
    <t>standard entropy</t>
  </si>
  <si>
    <t>entropy of formation</t>
  </si>
  <si>
    <r>
      <t>O</t>
    </r>
    <r>
      <rPr>
        <vertAlign val="subscript"/>
        <sz val="11"/>
        <color theme="1"/>
        <rFont val="Aptos Narrow"/>
        <scheme val="minor"/>
      </rPr>
      <t>2</t>
    </r>
  </si>
  <si>
    <t>Gibbs free energy of formation</t>
  </si>
  <si>
    <r>
      <t>H</t>
    </r>
    <r>
      <rPr>
        <vertAlign val="subscript"/>
        <sz val="11"/>
        <color theme="1"/>
        <rFont val="Aptos Narrow"/>
        <scheme val="minor"/>
      </rPr>
      <t>2</t>
    </r>
  </si>
  <si>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Aptos Narrow"/>
        <scheme val="minor"/>
      </rPr>
      <t>f</t>
    </r>
    <r>
      <rPr>
        <sz val="11"/>
        <color theme="1"/>
        <rFont val="Aptos Narrow"/>
        <family val="2"/>
        <scheme val="minor"/>
      </rPr>
      <t>G</t>
    </r>
    <r>
      <rPr>
        <vertAlign val="superscript"/>
        <sz val="11"/>
        <color theme="1"/>
        <rFont val="Aptos Narrow"/>
        <scheme val="minor"/>
      </rPr>
      <t>o</t>
    </r>
    <r>
      <rPr>
        <sz val="11"/>
        <color theme="1"/>
        <rFont val="Aptos Narrow"/>
        <family val="2"/>
        <scheme val="minor"/>
      </rPr>
      <t xml:space="preserve"> (kJ mol</t>
    </r>
    <r>
      <rPr>
        <vertAlign val="superscript"/>
        <sz val="11"/>
        <color theme="1"/>
        <rFont val="Aptos Narrow"/>
        <scheme val="minor"/>
      </rPr>
      <t>-1</t>
    </r>
    <r>
      <rPr>
        <sz val="11"/>
        <color theme="1"/>
        <rFont val="Aptos Narrow"/>
        <family val="2"/>
        <scheme val="minor"/>
      </rPr>
      <t>)</t>
    </r>
  </si>
  <si>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Aptos Narrow"/>
        <scheme val="minor"/>
      </rPr>
      <t>f</t>
    </r>
    <r>
      <rPr>
        <sz val="11"/>
        <color theme="1"/>
        <rFont val="Aptos Narrow"/>
        <family val="2"/>
        <scheme val="minor"/>
      </rPr>
      <t>H</t>
    </r>
    <r>
      <rPr>
        <vertAlign val="superscript"/>
        <sz val="11"/>
        <color theme="1"/>
        <rFont val="Aptos Narrow"/>
        <scheme val="minor"/>
      </rPr>
      <t>o</t>
    </r>
    <r>
      <rPr>
        <sz val="11"/>
        <color theme="1"/>
        <rFont val="Aptos Narrow"/>
        <family val="2"/>
        <scheme val="minor"/>
      </rPr>
      <t xml:space="preserve"> (kJ mol</t>
    </r>
    <r>
      <rPr>
        <vertAlign val="superscript"/>
        <sz val="11"/>
        <color theme="1"/>
        <rFont val="Aptos Narrow"/>
        <scheme val="minor"/>
      </rPr>
      <t>-1</t>
    </r>
    <r>
      <rPr>
        <sz val="11"/>
        <color theme="1"/>
        <rFont val="Aptos Narrow"/>
        <family val="2"/>
        <scheme val="minor"/>
      </rPr>
      <t>)</t>
    </r>
  </si>
  <si>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Aptos Narrow"/>
        <scheme val="minor"/>
      </rPr>
      <t>r</t>
    </r>
    <r>
      <rPr>
        <sz val="11"/>
        <color theme="1"/>
        <rFont val="Aptos Narrow"/>
        <family val="2"/>
        <scheme val="minor"/>
      </rPr>
      <t>G</t>
    </r>
    <r>
      <rPr>
        <vertAlign val="superscript"/>
        <sz val="11"/>
        <color theme="1"/>
        <rFont val="Aptos Narrow"/>
        <scheme val="minor"/>
      </rPr>
      <t>o</t>
    </r>
  </si>
  <si>
    <r>
      <t>Fe</t>
    </r>
    <r>
      <rPr>
        <vertAlign val="superscript"/>
        <sz val="11"/>
        <color theme="1"/>
        <rFont val="Aptos Narrow"/>
        <family val="2"/>
        <scheme val="minor"/>
      </rPr>
      <t>3+</t>
    </r>
  </si>
  <si>
    <t>Lemire et al. 2013</t>
  </si>
  <si>
    <t>ln K</t>
  </si>
  <si>
    <r>
      <t>Fe</t>
    </r>
    <r>
      <rPr>
        <vertAlign val="superscript"/>
        <sz val="11"/>
        <color theme="1"/>
        <rFont val="Aptos Narrow"/>
        <family val="2"/>
        <scheme val="minor"/>
      </rPr>
      <t>2+</t>
    </r>
  </si>
  <si>
    <t>log K</t>
  </si>
  <si>
    <r>
      <t>SO</t>
    </r>
    <r>
      <rPr>
        <vertAlign val="subscript"/>
        <sz val="11"/>
        <color theme="1"/>
        <rFont val="Aptos Narrow"/>
        <scheme val="minor"/>
      </rPr>
      <t>4</t>
    </r>
    <r>
      <rPr>
        <vertAlign val="superscript"/>
        <sz val="11"/>
        <color theme="1"/>
        <rFont val="Aptos Narrow"/>
        <scheme val="minor"/>
      </rPr>
      <t>2-</t>
    </r>
  </si>
  <si>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Aptos Narrow"/>
        <scheme val="minor"/>
      </rPr>
      <t>r</t>
    </r>
    <r>
      <rPr>
        <sz val="11"/>
        <color theme="1"/>
        <rFont val="Aptos Narrow"/>
        <family val="2"/>
        <scheme val="minor"/>
      </rPr>
      <t>H</t>
    </r>
    <r>
      <rPr>
        <vertAlign val="superscript"/>
        <sz val="11"/>
        <color theme="1"/>
        <rFont val="Aptos Narrow"/>
        <scheme val="minor"/>
      </rPr>
      <t>o</t>
    </r>
  </si>
  <si>
    <r>
      <t>H</t>
    </r>
    <r>
      <rPr>
        <vertAlign val="subscript"/>
        <sz val="11"/>
        <color theme="1"/>
        <rFont val="Aptos Narrow"/>
        <scheme val="minor"/>
      </rPr>
      <t>2</t>
    </r>
    <r>
      <rPr>
        <sz val="11"/>
        <color theme="1"/>
        <rFont val="Aptos Narrow"/>
        <family val="2"/>
        <scheme val="minor"/>
      </rPr>
      <t>O</t>
    </r>
  </si>
  <si>
    <r>
      <t>Mg</t>
    </r>
    <r>
      <rPr>
        <vertAlign val="superscript"/>
        <sz val="11"/>
        <color theme="1"/>
        <rFont val="Aptos Narrow"/>
        <family val="2"/>
        <scheme val="minor"/>
      </rPr>
      <t>2+</t>
    </r>
  </si>
  <si>
    <r>
      <t>Al</t>
    </r>
    <r>
      <rPr>
        <vertAlign val="superscript"/>
        <sz val="11"/>
        <color theme="1"/>
        <rFont val="Aptos Narrow"/>
        <family val="2"/>
        <scheme val="minor"/>
      </rPr>
      <t>3+</t>
    </r>
  </si>
  <si>
    <t>Al2/3Fe4(SO4)6(OH)2·20H2O + 2H+ = (2/3)Al+++ + 4Fe+++ + 6SO4-- + 22H2O</t>
  </si>
  <si>
    <t>estimate, Ogorodova et al. (2021)</t>
  </si>
  <si>
    <t>+-59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</si>
</sst>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"/>
    <numFmt numFmtId="165" formatCode="0.00000"/>
    <numFmt numFmtId="166" formatCode="0.00000000"/>
    <numFmt numFmtId="167" formatCode="0.000"/>
    <numFmt numFmtId="168" formatCode="0.0000"/>
    <numFmt numFmtId="169" formatCode="0.0"/>
  </numFmts>
  <fonts count="2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ptos Narrow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sz val="12"/>
      <name val="Aptos"/>
      <family val="2"/>
    </font>
    <font>
      <sz val="12"/>
      <color theme="1"/>
      <name val="Aptos"/>
      <family val="2"/>
    </font>
    <font>
      <vertAlign val="subscript"/>
      <sz val="12"/>
      <name val="Aptos"/>
      <family val="2"/>
    </font>
    <font>
      <sz val="12"/>
      <color indexed="8"/>
      <name val="Aptos"/>
      <family val="1"/>
      <charset val="2"/>
    </font>
    <font>
      <sz val="12"/>
      <color rgb="FF000000"/>
      <name val="Symbol"/>
      <family val="1"/>
      <charset val="2"/>
    </font>
    <font>
      <sz val="12"/>
      <color indexed="8"/>
      <name val="Aptos"/>
      <family val="2"/>
    </font>
    <font>
      <vertAlign val="subscript"/>
      <sz val="12"/>
      <color indexed="8"/>
      <name val="Aptos"/>
      <family val="2"/>
    </font>
    <font>
      <sz val="11"/>
      <name val="Aptos Narrow"/>
      <family val="2"/>
      <scheme val="minor"/>
    </font>
    <font>
      <vertAlign val="subscript"/>
      <sz val="12"/>
      <name val="Aptos"/>
    </font>
    <font>
      <vertAlign val="superscript"/>
      <sz val="11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  <font>
      <vertAlign val="subscript"/>
      <sz val="11"/>
      <color theme="1"/>
      <name val="Aptos Narrow"/>
      <scheme val="minor"/>
    </font>
    <font>
      <vertAlign val="superscript"/>
      <sz val="11"/>
      <color theme="1"/>
      <name val="Aptos Narrow"/>
      <scheme val="minor"/>
    </font>
    <font>
      <sz val="11"/>
      <color theme="1"/>
      <name val="Aptos Narrow"/>
      <family val="1"/>
      <charset val="2"/>
      <scheme val="minor"/>
    </font>
    <font>
      <sz val="11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indexed="11"/>
        <bgColor indexed="15"/>
      </patternFill>
    </fill>
    <fill>
      <patternFill patternType="solid">
        <fgColor indexed="13"/>
        <bgColor indexed="3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rgb="FF212121"/>
      </left>
      <right/>
      <top style="thin">
        <color rgb="FF212121"/>
      </top>
      <bottom/>
      <diagonal/>
    </border>
    <border>
      <left/>
      <right/>
      <top style="thin">
        <color rgb="FF212121"/>
      </top>
      <bottom/>
      <diagonal/>
    </border>
    <border>
      <left/>
      <right style="thin">
        <color rgb="FF212121"/>
      </right>
      <top style="thin">
        <color rgb="FF212121"/>
      </top>
      <bottom/>
      <diagonal/>
    </border>
    <border>
      <left style="thin">
        <color rgb="FF212121"/>
      </left>
      <right/>
      <top/>
      <bottom/>
      <diagonal/>
    </border>
    <border>
      <left/>
      <right style="thin">
        <color rgb="FF212121"/>
      </right>
      <top/>
      <bottom/>
      <diagonal/>
    </border>
    <border>
      <left style="thin">
        <color rgb="FF212121"/>
      </left>
      <right style="thin">
        <color rgb="FF212121"/>
      </right>
      <top style="thin">
        <color rgb="FF212121"/>
      </top>
      <bottom/>
      <diagonal/>
    </border>
    <border>
      <left style="thin">
        <color rgb="FF212121"/>
      </left>
      <right/>
      <top/>
      <bottom style="thin">
        <color rgb="FF212121"/>
      </bottom>
      <diagonal/>
    </border>
    <border>
      <left/>
      <right/>
      <top/>
      <bottom style="thin">
        <color rgb="FF212121"/>
      </bottom>
      <diagonal/>
    </border>
    <border>
      <left/>
      <right style="thin">
        <color rgb="FF212121"/>
      </right>
      <top/>
      <bottom style="thin">
        <color rgb="FF212121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2" fillId="2" borderId="2" xfId="0" applyFont="1" applyFill="1" applyBorder="1"/>
    <xf numFmtId="0" fontId="0" fillId="2" borderId="2" xfId="0" applyFill="1" applyBorder="1"/>
    <xf numFmtId="0" fontId="2" fillId="2" borderId="3" xfId="0" applyFont="1" applyFill="1" applyBorder="1"/>
    <xf numFmtId="0" fontId="0" fillId="2" borderId="4" xfId="0" applyFill="1" applyBorder="1"/>
    <xf numFmtId="0" fontId="2" fillId="2" borderId="0" xfId="0" applyFont="1" applyFill="1"/>
    <xf numFmtId="0" fontId="0" fillId="2" borderId="0" xfId="0" applyFill="1"/>
    <xf numFmtId="0" fontId="2" fillId="2" borderId="5" xfId="0" applyFont="1" applyFill="1" applyBorder="1"/>
    <xf numFmtId="0" fontId="2" fillId="2" borderId="4" xfId="0" applyFont="1" applyFill="1" applyBorder="1"/>
    <xf numFmtId="2" fontId="0" fillId="2" borderId="0" xfId="0" applyNumberFormat="1" applyFill="1"/>
    <xf numFmtId="0" fontId="2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3" fillId="0" borderId="0" xfId="0" applyFont="1"/>
    <xf numFmtId="11" fontId="0" fillId="0" borderId="0" xfId="0" applyNumberFormat="1"/>
    <xf numFmtId="0" fontId="0" fillId="3" borderId="0" xfId="1" applyFont="1" applyFill="1"/>
    <xf numFmtId="164" fontId="0" fillId="0" borderId="0" xfId="0" applyNumberFormat="1"/>
    <xf numFmtId="0" fontId="0" fillId="4" borderId="0" xfId="1" applyFont="1" applyFill="1"/>
    <xf numFmtId="0" fontId="0" fillId="0" borderId="0" xfId="1" applyFont="1"/>
    <xf numFmtId="0" fontId="0" fillId="0" borderId="0" xfId="0" applyAlignment="1">
      <alignment wrapText="1"/>
    </xf>
    <xf numFmtId="165" fontId="0" fillId="0" borderId="0" xfId="1" applyNumberFormat="1" applyFont="1"/>
    <xf numFmtId="0" fontId="5" fillId="0" borderId="0" xfId="1" applyFont="1"/>
    <xf numFmtId="166" fontId="5" fillId="0" borderId="0" xfId="1" applyNumberFormat="1" applyFont="1"/>
    <xf numFmtId="167" fontId="5" fillId="0" borderId="0" xfId="1" applyNumberFormat="1" applyFont="1" applyAlignment="1">
      <alignment horizontal="right"/>
    </xf>
    <xf numFmtId="165" fontId="5" fillId="0" borderId="0" xfId="1" applyNumberFormat="1" applyFont="1"/>
    <xf numFmtId="168" fontId="0" fillId="0" borderId="0" xfId="0" applyNumberFormat="1"/>
    <xf numFmtId="168" fontId="5" fillId="0" borderId="0" xfId="1" applyNumberFormat="1" applyFont="1"/>
    <xf numFmtId="0" fontId="0" fillId="0" borderId="0" xfId="0" applyAlignment="1">
      <alignment horizontal="center"/>
    </xf>
    <xf numFmtId="0" fontId="6" fillId="0" borderId="0" xfId="0" applyFont="1"/>
    <xf numFmtId="2" fontId="6" fillId="0" borderId="0" xfId="0" applyNumberFormat="1" applyFont="1"/>
    <xf numFmtId="0" fontId="7" fillId="0" borderId="0" xfId="0" applyFont="1"/>
    <xf numFmtId="1" fontId="6" fillId="0" borderId="0" xfId="0" applyNumberFormat="1" applyFont="1"/>
    <xf numFmtId="0" fontId="9" fillId="0" borderId="0" xfId="0" applyFont="1"/>
    <xf numFmtId="2" fontId="13" fillId="0" borderId="0" xfId="0" applyNumberFormat="1" applyFont="1"/>
    <xf numFmtId="169" fontId="6" fillId="0" borderId="0" xfId="0" applyNumberFormat="1" applyFont="1"/>
    <xf numFmtId="0" fontId="0" fillId="5" borderId="0" xfId="0" applyFill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4" fillId="0" borderId="0" xfId="0" applyFont="1"/>
    <xf numFmtId="0" fontId="0" fillId="6" borderId="0" xfId="0" applyFill="1"/>
    <xf numFmtId="0" fontId="19" fillId="0" borderId="0" xfId="0" applyFont="1"/>
    <xf numFmtId="169" fontId="0" fillId="0" borderId="0" xfId="0" applyNumberFormat="1"/>
    <xf numFmtId="0" fontId="13" fillId="0" borderId="0" xfId="0" applyFont="1" applyAlignment="1">
      <alignment horizontal="right" vertical="center"/>
    </xf>
    <xf numFmtId="0" fontId="13" fillId="0" borderId="0" xfId="0" applyFont="1"/>
    <xf numFmtId="0" fontId="0" fillId="0" borderId="0" xfId="0" quotePrefix="1" applyAlignment="1">
      <alignment horizontal="right"/>
    </xf>
    <xf numFmtId="2" fontId="0" fillId="0" borderId="0" xfId="0" applyNumberFormat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2">
    <cellStyle name="Normal" xfId="0" builtinId="0"/>
    <cellStyle name="Standard_Kalorimetrie" xfId="1" xr:uid="{054FDA27-1EC6-4DB2-AB32-F7EC213848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0FE67-8520-4CC3-985F-F16157DDB7D3}">
  <dimension ref="A1:K191"/>
  <sheetViews>
    <sheetView workbookViewId="0"/>
  </sheetViews>
  <sheetFormatPr defaultRowHeight="14.25"/>
  <cols>
    <col min="1" max="11" width="11.125" customWidth="1"/>
  </cols>
  <sheetData>
    <row r="1" spans="1:11">
      <c r="A1" s="1" t="s">
        <v>0</v>
      </c>
      <c r="D1" s="2" t="s">
        <v>1</v>
      </c>
      <c r="G1" s="3"/>
      <c r="H1" s="4" t="s">
        <v>2</v>
      </c>
      <c r="I1" s="5"/>
      <c r="J1" s="5">
        <v>1404.1</v>
      </c>
      <c r="K1" s="6" t="s">
        <v>3</v>
      </c>
    </row>
    <row r="2" spans="1:11">
      <c r="A2" s="2" t="s">
        <v>4</v>
      </c>
      <c r="G2" s="7"/>
      <c r="H2" s="8" t="s">
        <v>5</v>
      </c>
      <c r="I2" s="9"/>
      <c r="J2" s="9">
        <v>1397.6</v>
      </c>
      <c r="K2" s="10" t="s">
        <v>3</v>
      </c>
    </row>
    <row r="3" spans="1:11">
      <c r="G3" s="7"/>
      <c r="H3" s="9"/>
      <c r="I3" s="9"/>
      <c r="J3" s="9"/>
      <c r="K3" s="10"/>
    </row>
    <row r="4" spans="1:11">
      <c r="A4" s="64" t="s">
        <v>6</v>
      </c>
      <c r="B4" s="64"/>
      <c r="C4" s="64"/>
      <c r="D4" s="64" t="s">
        <v>7</v>
      </c>
      <c r="E4" s="64"/>
      <c r="F4" s="64"/>
      <c r="G4" s="11" t="s">
        <v>8</v>
      </c>
      <c r="H4" s="9"/>
      <c r="I4" s="9"/>
      <c r="J4" s="12">
        <f>100*(J1-J2)/J2</f>
        <v>0.46508299942759018</v>
      </c>
      <c r="K4" s="10" t="s">
        <v>9</v>
      </c>
    </row>
    <row r="5" spans="1:11">
      <c r="A5" s="7"/>
      <c r="B5" s="9"/>
      <c r="C5" s="10"/>
      <c r="D5" s="7"/>
      <c r="E5" s="9"/>
      <c r="F5" s="10"/>
      <c r="G5" s="13" t="s">
        <v>10</v>
      </c>
      <c r="H5" s="14"/>
      <c r="I5" s="14"/>
      <c r="J5" s="14"/>
      <c r="K5" s="15"/>
    </row>
    <row r="6" spans="1:11">
      <c r="A6" s="11" t="s">
        <v>13</v>
      </c>
      <c r="B6" s="16" t="s">
        <v>11</v>
      </c>
      <c r="C6" s="17" t="s">
        <v>12</v>
      </c>
      <c r="D6" s="7"/>
      <c r="E6" s="9"/>
      <c r="F6" s="10"/>
    </row>
    <row r="7" spans="1:11">
      <c r="A7" s="7"/>
      <c r="B7" s="16">
        <v>1452.2</v>
      </c>
      <c r="C7" s="17">
        <v>10</v>
      </c>
      <c r="D7" s="7"/>
      <c r="E7" s="9"/>
      <c r="F7" s="10"/>
    </row>
    <row r="8" spans="1:11">
      <c r="A8" s="7"/>
      <c r="B8" s="9"/>
      <c r="C8" s="10"/>
      <c r="D8" s="7"/>
      <c r="E8" s="9"/>
      <c r="F8" s="10"/>
    </row>
    <row r="9" spans="1:11">
      <c r="A9" s="18" t="s">
        <v>14</v>
      </c>
      <c r="B9" s="19" t="s">
        <v>15</v>
      </c>
      <c r="C9" s="10" t="s">
        <v>16</v>
      </c>
      <c r="D9" s="18" t="s">
        <v>14</v>
      </c>
      <c r="E9" s="19" t="s">
        <v>15</v>
      </c>
      <c r="F9" s="10" t="s">
        <v>16</v>
      </c>
    </row>
    <row r="10" spans="1:11">
      <c r="A10" s="20" t="s">
        <v>17</v>
      </c>
      <c r="B10" s="21" t="s">
        <v>3</v>
      </c>
      <c r="C10" s="22" t="s">
        <v>3</v>
      </c>
      <c r="D10" s="20" t="s">
        <v>17</v>
      </c>
      <c r="E10" s="21" t="s">
        <v>3</v>
      </c>
      <c r="F10" s="15"/>
    </row>
    <row r="11" spans="1:11">
      <c r="A11" s="23"/>
      <c r="B11" s="24"/>
      <c r="C11" s="25"/>
      <c r="D11" s="23"/>
      <c r="E11" s="24"/>
      <c r="F11" s="25"/>
    </row>
    <row r="12" spans="1:11">
      <c r="A12" s="26">
        <v>2.1965300000000001</v>
      </c>
      <c r="B12">
        <v>0.168599</v>
      </c>
      <c r="C12" s="27">
        <v>8.4380900000000005E-4</v>
      </c>
      <c r="D12" s="26">
        <v>280.22000000000003</v>
      </c>
      <c r="E12">
        <v>1376.88</v>
      </c>
      <c r="F12" s="27">
        <v>7.4174100000000003</v>
      </c>
    </row>
    <row r="13" spans="1:11">
      <c r="A13" s="26">
        <v>2.2006299999999999</v>
      </c>
      <c r="B13">
        <v>0.16870099999999999</v>
      </c>
      <c r="C13" s="27">
        <v>8.5896699999999998E-4</v>
      </c>
      <c r="D13" s="26">
        <v>280.387</v>
      </c>
      <c r="E13">
        <v>1377.46</v>
      </c>
      <c r="F13" s="27">
        <v>7.2759600000000004</v>
      </c>
    </row>
    <row r="14" spans="1:11">
      <c r="A14" s="26">
        <v>2.2012299999999998</v>
      </c>
      <c r="B14">
        <v>0.16869700000000001</v>
      </c>
      <c r="C14" s="27">
        <v>8.6028600000000004E-4</v>
      </c>
      <c r="D14" s="26">
        <v>280.553</v>
      </c>
      <c r="E14">
        <v>1377.99</v>
      </c>
      <c r="F14" s="27">
        <v>7.6935599999999997</v>
      </c>
    </row>
    <row r="15" spans="1:11">
      <c r="A15" s="26">
        <v>2.3869199999999999</v>
      </c>
      <c r="B15">
        <v>0.17347099999999999</v>
      </c>
      <c r="C15" s="27">
        <v>1.0839599999999999E-3</v>
      </c>
      <c r="D15" s="26">
        <v>280.72000000000003</v>
      </c>
      <c r="E15">
        <v>1378.66</v>
      </c>
      <c r="F15" s="27">
        <v>7.65524</v>
      </c>
    </row>
    <row r="16" spans="1:11">
      <c r="A16" s="26">
        <v>2.38931</v>
      </c>
      <c r="B16">
        <v>0.173591</v>
      </c>
      <c r="C16" s="27">
        <v>1.0987499999999999E-3</v>
      </c>
      <c r="D16" s="26">
        <v>280.88299999999998</v>
      </c>
      <c r="E16">
        <v>1379.44</v>
      </c>
      <c r="F16" s="27">
        <v>7.4674699999999996</v>
      </c>
    </row>
    <row r="17" spans="1:6">
      <c r="A17" s="26">
        <v>2.3902299999999999</v>
      </c>
      <c r="B17">
        <v>0.173896</v>
      </c>
      <c r="C17" s="27">
        <v>1.1019000000000001E-3</v>
      </c>
      <c r="D17" s="26">
        <v>281.05</v>
      </c>
      <c r="E17">
        <v>1380.29</v>
      </c>
      <c r="F17" s="27">
        <v>7.5733800000000002</v>
      </c>
    </row>
    <row r="18" spans="1:6">
      <c r="A18" s="26">
        <v>2.5962700000000001</v>
      </c>
      <c r="B18">
        <v>0.180844</v>
      </c>
      <c r="C18" s="27">
        <v>1.23726E-3</v>
      </c>
      <c r="D18" s="26">
        <v>281.20999999999998</v>
      </c>
      <c r="E18">
        <v>1381.09</v>
      </c>
      <c r="F18" s="27">
        <v>7.3604799999999999</v>
      </c>
    </row>
    <row r="19" spans="1:6">
      <c r="A19" s="26">
        <v>2.5969699999999998</v>
      </c>
      <c r="B19">
        <v>0.181142</v>
      </c>
      <c r="C19" s="27">
        <v>1.23496E-3</v>
      </c>
      <c r="D19" s="26">
        <v>281.37700000000001</v>
      </c>
      <c r="E19">
        <v>1381.97</v>
      </c>
      <c r="F19" s="27">
        <v>7.4789599999999998</v>
      </c>
    </row>
    <row r="20" spans="1:6">
      <c r="A20" s="26">
        <v>2.59796</v>
      </c>
      <c r="B20">
        <v>0.18110000000000001</v>
      </c>
      <c r="C20" s="27">
        <v>1.2320300000000001E-3</v>
      </c>
      <c r="D20" s="26">
        <v>281.54700000000003</v>
      </c>
      <c r="E20">
        <v>1382.64</v>
      </c>
      <c r="F20" s="27">
        <v>7.4905400000000002</v>
      </c>
    </row>
    <row r="21" spans="1:6">
      <c r="A21" s="26">
        <v>2.8214899999999998</v>
      </c>
      <c r="B21">
        <v>0.19456599999999999</v>
      </c>
      <c r="C21" s="27">
        <v>1.4398499999999999E-3</v>
      </c>
      <c r="D21" s="26">
        <v>281.70999999999998</v>
      </c>
      <c r="E21">
        <v>1383.15</v>
      </c>
      <c r="F21" s="27">
        <v>7.5968799999999996</v>
      </c>
    </row>
    <row r="22" spans="1:6">
      <c r="A22" s="26">
        <v>2.82226</v>
      </c>
      <c r="B22">
        <v>0.194827</v>
      </c>
      <c r="C22" s="27">
        <v>1.46546E-3</v>
      </c>
      <c r="D22" s="26">
        <v>281.87700000000001</v>
      </c>
      <c r="E22">
        <v>1383.87</v>
      </c>
      <c r="F22" s="27">
        <v>7.7826500000000003</v>
      </c>
    </row>
    <row r="23" spans="1:6">
      <c r="A23" s="26">
        <v>2.8226100000000001</v>
      </c>
      <c r="B23">
        <v>0.19494700000000001</v>
      </c>
      <c r="C23" s="27">
        <v>1.43873E-3</v>
      </c>
      <c r="D23" s="26">
        <v>282.04300000000001</v>
      </c>
      <c r="E23">
        <v>1384.43</v>
      </c>
      <c r="F23" s="27">
        <v>7.5662000000000003</v>
      </c>
    </row>
    <row r="24" spans="1:6">
      <c r="A24" s="26">
        <v>3.0653800000000002</v>
      </c>
      <c r="B24">
        <v>0.21615799999999999</v>
      </c>
      <c r="C24" s="27">
        <v>1.6980700000000001E-3</v>
      </c>
      <c r="D24" s="26">
        <v>282.20699999999999</v>
      </c>
      <c r="E24">
        <v>1385.24</v>
      </c>
      <c r="F24" s="27">
        <v>7.5091700000000001</v>
      </c>
    </row>
    <row r="25" spans="1:6">
      <c r="A25" s="26">
        <v>3.0661700000000001</v>
      </c>
      <c r="B25">
        <v>0.216533</v>
      </c>
      <c r="C25" s="27">
        <v>1.68929E-3</v>
      </c>
      <c r="D25" s="26">
        <v>282.37</v>
      </c>
      <c r="E25">
        <v>1385.78</v>
      </c>
      <c r="F25" s="27">
        <v>7.4738600000000002</v>
      </c>
    </row>
    <row r="26" spans="1:6">
      <c r="A26" s="26">
        <v>3.0684100000000001</v>
      </c>
      <c r="B26">
        <v>0.216997</v>
      </c>
      <c r="C26" s="27">
        <v>1.72842E-3</v>
      </c>
      <c r="D26" s="26">
        <v>282.53699999999998</v>
      </c>
      <c r="E26">
        <v>1386.46</v>
      </c>
      <c r="F26" s="27">
        <v>7.4390599999999996</v>
      </c>
    </row>
    <row r="27" spans="1:6">
      <c r="A27" s="26">
        <v>3.3304100000000001</v>
      </c>
      <c r="B27">
        <v>0.25056400000000001</v>
      </c>
      <c r="C27" s="27">
        <v>2.0501999999999999E-3</v>
      </c>
      <c r="D27" s="26">
        <v>282.70699999999999</v>
      </c>
      <c r="E27">
        <v>1387.4</v>
      </c>
      <c r="F27" s="27">
        <v>7.4662100000000002</v>
      </c>
    </row>
    <row r="28" spans="1:6">
      <c r="A28" s="26">
        <v>3.3340900000000002</v>
      </c>
      <c r="B28">
        <v>0.25106299999999998</v>
      </c>
      <c r="C28" s="27">
        <v>2.0856899999999999E-3</v>
      </c>
      <c r="D28" s="26">
        <v>282.86700000000002</v>
      </c>
      <c r="E28">
        <v>1388.46</v>
      </c>
      <c r="F28" s="27">
        <v>7.3850300000000004</v>
      </c>
    </row>
    <row r="29" spans="1:6">
      <c r="A29" s="26">
        <v>3.3361800000000001</v>
      </c>
      <c r="B29">
        <v>0.25125599999999998</v>
      </c>
      <c r="C29" s="27">
        <v>2.1001800000000001E-3</v>
      </c>
      <c r="D29" s="26">
        <v>283.03699999999998</v>
      </c>
      <c r="E29">
        <v>1388.87</v>
      </c>
      <c r="F29" s="27">
        <v>7.4168200000000004</v>
      </c>
    </row>
    <row r="30" spans="1:6">
      <c r="A30" s="26">
        <v>3.62351</v>
      </c>
      <c r="B30">
        <v>0.30399700000000002</v>
      </c>
      <c r="C30" s="27">
        <v>2.51432E-3</v>
      </c>
      <c r="D30" s="26">
        <v>283.2</v>
      </c>
      <c r="E30">
        <v>1389.18</v>
      </c>
      <c r="F30" s="27">
        <v>7.3570700000000002</v>
      </c>
    </row>
    <row r="31" spans="1:6">
      <c r="A31" s="26">
        <v>3.6252</v>
      </c>
      <c r="B31">
        <v>0.30435499999999999</v>
      </c>
      <c r="C31" s="27">
        <v>2.5354399999999999E-3</v>
      </c>
      <c r="D31" s="26">
        <v>283.36700000000002</v>
      </c>
      <c r="E31">
        <v>1389.9</v>
      </c>
      <c r="F31" s="27">
        <v>7.6663100000000002</v>
      </c>
    </row>
    <row r="32" spans="1:6">
      <c r="A32" s="26">
        <v>3.63</v>
      </c>
      <c r="B32">
        <v>0.30573299999999998</v>
      </c>
      <c r="C32" s="27">
        <v>2.6395799999999999E-3</v>
      </c>
      <c r="D32" s="26">
        <v>283.52999999999997</v>
      </c>
      <c r="E32">
        <v>1390.84</v>
      </c>
      <c r="F32" s="27">
        <v>7.4537199999999997</v>
      </c>
    </row>
    <row r="33" spans="1:6">
      <c r="A33" s="26">
        <v>3.94333</v>
      </c>
      <c r="B33">
        <v>0.38942599999999999</v>
      </c>
      <c r="C33" s="27">
        <v>3.1586499999999998E-3</v>
      </c>
      <c r="D33" s="26">
        <v>283.697</v>
      </c>
      <c r="E33">
        <v>1391.88</v>
      </c>
      <c r="F33" s="27">
        <v>7.3738099999999998</v>
      </c>
    </row>
    <row r="34" spans="1:6">
      <c r="A34" s="26">
        <v>3.9451999999999998</v>
      </c>
      <c r="B34">
        <v>0.39021800000000001</v>
      </c>
      <c r="C34" s="27">
        <v>3.1630899999999999E-3</v>
      </c>
      <c r="D34" s="26">
        <v>283.863</v>
      </c>
      <c r="E34">
        <v>1392.53</v>
      </c>
      <c r="F34" s="27">
        <v>7.5674799999999998</v>
      </c>
    </row>
    <row r="35" spans="1:6">
      <c r="A35" s="26">
        <v>3.9525800000000002</v>
      </c>
      <c r="B35">
        <v>0.393237</v>
      </c>
      <c r="C35" s="27">
        <v>3.4070699999999999E-3</v>
      </c>
      <c r="D35" s="26">
        <v>284.02999999999997</v>
      </c>
      <c r="E35">
        <v>1393.31</v>
      </c>
      <c r="F35" s="27">
        <v>7.2232200000000004</v>
      </c>
    </row>
    <row r="36" spans="1:6">
      <c r="A36" s="26">
        <v>4.2908400000000002</v>
      </c>
      <c r="B36">
        <v>0.52099200000000001</v>
      </c>
      <c r="C36" s="27">
        <v>4.04397E-3</v>
      </c>
      <c r="D36" s="26">
        <v>284.197</v>
      </c>
      <c r="E36">
        <v>1394.13</v>
      </c>
      <c r="F36" s="27">
        <v>7.3846800000000004</v>
      </c>
    </row>
    <row r="37" spans="1:6">
      <c r="A37" s="26">
        <v>4.2939800000000004</v>
      </c>
      <c r="B37">
        <v>0.522424</v>
      </c>
      <c r="C37" s="27">
        <v>4.1139699999999998E-3</v>
      </c>
      <c r="D37" s="26">
        <v>284.36700000000002</v>
      </c>
      <c r="E37">
        <v>1394.9</v>
      </c>
      <c r="F37" s="27">
        <v>7.36076</v>
      </c>
    </row>
    <row r="38" spans="1:6">
      <c r="A38" s="26">
        <v>4.30192</v>
      </c>
      <c r="B38">
        <v>0.52833300000000005</v>
      </c>
      <c r="C38" s="27">
        <v>4.3228600000000004E-3</v>
      </c>
      <c r="D38" s="26">
        <v>284.52999999999997</v>
      </c>
      <c r="E38">
        <v>1395.73</v>
      </c>
      <c r="F38" s="27">
        <v>7.24214</v>
      </c>
    </row>
    <row r="39" spans="1:6">
      <c r="A39" s="26">
        <v>4.67347</v>
      </c>
      <c r="B39">
        <v>0.72794300000000001</v>
      </c>
      <c r="C39" s="27">
        <v>5.1728700000000004E-3</v>
      </c>
      <c r="D39" s="26">
        <v>284.69</v>
      </c>
      <c r="E39">
        <v>1396.14</v>
      </c>
      <c r="F39" s="27">
        <v>7.0695100000000002</v>
      </c>
    </row>
    <row r="40" spans="1:6">
      <c r="A40" s="26">
        <v>4.6770899999999997</v>
      </c>
      <c r="B40">
        <v>0.72968999999999995</v>
      </c>
      <c r="C40" s="27">
        <v>5.1354900000000004E-3</v>
      </c>
      <c r="D40" s="26">
        <v>284.85700000000003</v>
      </c>
      <c r="E40">
        <v>1396.92</v>
      </c>
      <c r="F40" s="27">
        <v>7.2463600000000001</v>
      </c>
    </row>
    <row r="41" spans="1:6">
      <c r="A41" s="26">
        <v>4.6845499999999998</v>
      </c>
      <c r="B41">
        <v>0.735545</v>
      </c>
      <c r="C41" s="27">
        <v>5.52813E-3</v>
      </c>
      <c r="D41" s="26">
        <v>285.02300000000002</v>
      </c>
      <c r="E41">
        <v>1397.76</v>
      </c>
      <c r="F41" s="27">
        <v>7.2158600000000002</v>
      </c>
    </row>
    <row r="42" spans="1:6">
      <c r="A42" s="26">
        <v>5.0959899999999996</v>
      </c>
      <c r="B42">
        <v>1.04023</v>
      </c>
      <c r="C42" s="27">
        <v>6.7931500000000004E-3</v>
      </c>
      <c r="D42" s="26">
        <v>285.18700000000001</v>
      </c>
      <c r="E42">
        <v>1398.67</v>
      </c>
      <c r="F42" s="27">
        <v>7.1554799999999998</v>
      </c>
    </row>
    <row r="43" spans="1:6">
      <c r="A43" s="26">
        <v>5.09917</v>
      </c>
      <c r="B43">
        <v>1.0428599999999999</v>
      </c>
      <c r="C43" s="27">
        <v>6.9027899999999998E-3</v>
      </c>
      <c r="D43" s="26">
        <v>285.35700000000003</v>
      </c>
      <c r="E43">
        <v>1399.58</v>
      </c>
      <c r="F43" s="27">
        <v>7.21516</v>
      </c>
    </row>
    <row r="44" spans="1:6">
      <c r="A44" s="26">
        <v>5.1065500000000004</v>
      </c>
      <c r="B44">
        <v>1.0509999999999999</v>
      </c>
      <c r="C44" s="27">
        <v>7.3605700000000003E-3</v>
      </c>
      <c r="D44" s="26">
        <v>285.52</v>
      </c>
      <c r="E44">
        <v>1400.28</v>
      </c>
      <c r="F44" s="27">
        <v>7.20404</v>
      </c>
    </row>
    <row r="45" spans="1:6">
      <c r="A45" s="26">
        <v>5.5586500000000001</v>
      </c>
      <c r="B45">
        <v>1.5131699999999999</v>
      </c>
      <c r="C45" s="27">
        <v>9.0600200000000002E-3</v>
      </c>
      <c r="D45" s="26">
        <v>285.68700000000001</v>
      </c>
      <c r="E45">
        <v>1401.13</v>
      </c>
      <c r="F45" s="27">
        <v>7.1722099999999998</v>
      </c>
    </row>
    <row r="46" spans="1:6">
      <c r="A46" s="26">
        <v>5.5623100000000001</v>
      </c>
      <c r="B46">
        <v>1.51668</v>
      </c>
      <c r="C46" s="27">
        <v>9.0807600000000002E-3</v>
      </c>
      <c r="D46" s="26">
        <v>285.85000000000002</v>
      </c>
      <c r="E46">
        <v>1401.96</v>
      </c>
      <c r="F46" s="27">
        <v>7.28301</v>
      </c>
    </row>
    <row r="47" spans="1:6">
      <c r="A47" s="26">
        <v>5.5701400000000003</v>
      </c>
      <c r="B47">
        <v>1.5285299999999999</v>
      </c>
      <c r="C47" s="27">
        <v>9.7844899999999999E-3</v>
      </c>
      <c r="D47" s="26">
        <v>286.01299999999998</v>
      </c>
      <c r="E47">
        <v>1402.78</v>
      </c>
      <c r="F47" s="27">
        <v>7.1844900000000003</v>
      </c>
    </row>
    <row r="48" spans="1:6">
      <c r="A48" s="26">
        <v>6.0635899999999996</v>
      </c>
      <c r="B48">
        <v>2.19916</v>
      </c>
      <c r="C48" s="27">
        <v>1.21671E-2</v>
      </c>
      <c r="D48" s="26">
        <v>286.18</v>
      </c>
      <c r="E48">
        <v>1403.55</v>
      </c>
      <c r="F48" s="27">
        <v>7.1717199999999997</v>
      </c>
    </row>
    <row r="49" spans="1:6">
      <c r="A49" s="26">
        <v>6.0675100000000004</v>
      </c>
      <c r="B49">
        <v>2.2049400000000001</v>
      </c>
      <c r="C49" s="27">
        <v>1.20369E-2</v>
      </c>
      <c r="D49" s="26">
        <v>286.34699999999998</v>
      </c>
      <c r="E49">
        <v>1404.31</v>
      </c>
      <c r="F49" s="27">
        <v>7.1816899999999997</v>
      </c>
    </row>
    <row r="50" spans="1:6">
      <c r="A50" s="26">
        <v>6.0736699999999999</v>
      </c>
      <c r="B50">
        <v>2.2172200000000002</v>
      </c>
      <c r="C50" s="27">
        <v>1.3147300000000001E-2</v>
      </c>
      <c r="D50" s="26">
        <v>286.51299999999998</v>
      </c>
      <c r="E50">
        <v>1405.12</v>
      </c>
      <c r="F50" s="27">
        <v>7.2970300000000003</v>
      </c>
    </row>
    <row r="51" spans="1:6">
      <c r="A51" s="26">
        <v>6.6423899999999998</v>
      </c>
      <c r="B51">
        <v>3.2162000000000002</v>
      </c>
      <c r="C51" s="27">
        <v>1.60089E-2</v>
      </c>
      <c r="D51" s="26">
        <v>286.67700000000002</v>
      </c>
      <c r="E51">
        <v>1405.77</v>
      </c>
      <c r="F51" s="27">
        <v>7.4776699999999998</v>
      </c>
    </row>
    <row r="52" spans="1:6">
      <c r="A52" s="26">
        <v>6.6425999999999998</v>
      </c>
      <c r="B52">
        <v>3.21455</v>
      </c>
      <c r="C52" s="27">
        <v>1.5982900000000001E-2</v>
      </c>
      <c r="D52" s="26">
        <v>286.84699999999998</v>
      </c>
      <c r="E52">
        <v>1406.4</v>
      </c>
      <c r="F52" s="27">
        <v>7.16622</v>
      </c>
    </row>
    <row r="53" spans="1:6">
      <c r="A53" s="26">
        <v>6.6572100000000001</v>
      </c>
      <c r="B53">
        <v>3.2438199999999999</v>
      </c>
      <c r="C53" s="27">
        <v>1.6955499999999998E-2</v>
      </c>
      <c r="D53" s="26">
        <v>287.01</v>
      </c>
      <c r="E53">
        <v>1407.32</v>
      </c>
      <c r="F53" s="27">
        <v>7.1241899999999996</v>
      </c>
    </row>
    <row r="54" spans="1:6">
      <c r="A54" s="26">
        <v>7.2359299999999998</v>
      </c>
      <c r="B54">
        <v>4.5175700000000001</v>
      </c>
      <c r="C54" s="27">
        <v>2.0434999999999998E-2</v>
      </c>
      <c r="D54" s="26">
        <v>287.17700000000002</v>
      </c>
      <c r="E54">
        <v>1408.18</v>
      </c>
      <c r="F54" s="27">
        <v>7.0661199999999997</v>
      </c>
    </row>
    <row r="55" spans="1:6">
      <c r="A55" s="26">
        <v>7.2408099999999997</v>
      </c>
      <c r="B55">
        <v>4.5370900000000001</v>
      </c>
      <c r="C55" s="27">
        <v>2.0587299999999999E-2</v>
      </c>
      <c r="D55" s="26">
        <v>287.33999999999997</v>
      </c>
      <c r="E55">
        <v>1409.08</v>
      </c>
      <c r="F55" s="27">
        <v>7.0775100000000002</v>
      </c>
    </row>
    <row r="56" spans="1:6">
      <c r="A56" s="26">
        <v>7.2425499999999996</v>
      </c>
      <c r="B56">
        <v>4.5497800000000002</v>
      </c>
      <c r="C56" s="27">
        <v>2.1965599999999998E-2</v>
      </c>
      <c r="D56" s="26">
        <v>287.50700000000001</v>
      </c>
      <c r="E56">
        <v>1410.18</v>
      </c>
      <c r="F56" s="27">
        <v>7.2785299999999999</v>
      </c>
    </row>
    <row r="57" spans="1:6">
      <c r="A57" s="26">
        <v>7.9023399999999997</v>
      </c>
      <c r="B57">
        <v>6.25908</v>
      </c>
      <c r="C57" s="27">
        <v>2.6226599999999999E-2</v>
      </c>
      <c r="D57" s="26">
        <v>287.67</v>
      </c>
      <c r="E57">
        <v>1410.8</v>
      </c>
      <c r="F57" s="27">
        <v>7.0445900000000004</v>
      </c>
    </row>
    <row r="58" spans="1:6">
      <c r="A58" s="26">
        <v>7.9051299999999998</v>
      </c>
      <c r="B58">
        <v>6.2836400000000001</v>
      </c>
      <c r="C58" s="27">
        <v>2.8133100000000001E-2</v>
      </c>
      <c r="D58" s="26">
        <v>287.83699999999999</v>
      </c>
      <c r="E58">
        <v>1411.68</v>
      </c>
      <c r="F58" s="27">
        <v>7.1670999999999996</v>
      </c>
    </row>
    <row r="59" spans="1:6">
      <c r="A59" s="26">
        <v>7.9060100000000002</v>
      </c>
      <c r="B59">
        <v>6.2735099999999999</v>
      </c>
      <c r="C59" s="27">
        <v>2.61868E-2</v>
      </c>
      <c r="D59" s="26">
        <v>288.00299999999999</v>
      </c>
      <c r="E59">
        <v>1412.52</v>
      </c>
      <c r="F59" s="27">
        <v>7.1871600000000004</v>
      </c>
    </row>
    <row r="60" spans="1:6">
      <c r="A60" s="26">
        <v>8.6319800000000004</v>
      </c>
      <c r="B60">
        <v>8.4861400000000007</v>
      </c>
      <c r="C60" s="27">
        <v>3.2731999999999997E-2</v>
      </c>
      <c r="D60" s="30">
        <v>288.16699999999997</v>
      </c>
      <c r="E60" s="28">
        <v>1413.46</v>
      </c>
      <c r="F60" s="29">
        <v>7.1793500000000003</v>
      </c>
    </row>
    <row r="61" spans="1:6">
      <c r="A61" s="26">
        <v>8.6360899999999994</v>
      </c>
      <c r="B61">
        <v>8.5056499999999993</v>
      </c>
      <c r="C61" s="27">
        <v>3.3851899999999997E-2</v>
      </c>
    </row>
    <row r="62" spans="1:6">
      <c r="A62" s="26">
        <v>8.6369100000000003</v>
      </c>
      <c r="B62">
        <v>8.4996500000000008</v>
      </c>
      <c r="C62" s="27">
        <v>3.2539999999999999E-2</v>
      </c>
    </row>
    <row r="63" spans="1:6">
      <c r="A63" s="26">
        <v>9.4262300000000003</v>
      </c>
      <c r="B63">
        <v>11.250999999999999</v>
      </c>
      <c r="C63" s="27">
        <v>4.2469199999999999E-2</v>
      </c>
    </row>
    <row r="64" spans="1:6">
      <c r="A64" s="26">
        <v>9.4269499999999997</v>
      </c>
      <c r="B64">
        <v>11.214600000000001</v>
      </c>
      <c r="C64" s="27">
        <v>3.9605899999999999E-2</v>
      </c>
    </row>
    <row r="65" spans="1:3">
      <c r="A65" s="26">
        <v>9.4304000000000006</v>
      </c>
      <c r="B65">
        <v>11.2232</v>
      </c>
      <c r="C65" s="27">
        <v>3.9733900000000003E-2</v>
      </c>
    </row>
    <row r="66" spans="1:3">
      <c r="A66" s="26">
        <v>10.298299999999999</v>
      </c>
      <c r="B66">
        <v>14.525</v>
      </c>
      <c r="C66" s="27">
        <v>5.1455599999999997E-2</v>
      </c>
    </row>
    <row r="67" spans="1:3">
      <c r="A67" s="26">
        <v>10.3001</v>
      </c>
      <c r="B67">
        <v>14.4747</v>
      </c>
      <c r="C67" s="27">
        <v>4.7830900000000003E-2</v>
      </c>
    </row>
    <row r="68" spans="1:3">
      <c r="A68" s="26">
        <v>10.3034</v>
      </c>
      <c r="B68">
        <v>14.493</v>
      </c>
      <c r="C68" s="27">
        <v>4.7749699999999999E-2</v>
      </c>
    </row>
    <row r="69" spans="1:3">
      <c r="A69" s="26">
        <v>11.2446</v>
      </c>
      <c r="B69">
        <v>18.265899999999998</v>
      </c>
      <c r="C69" s="27">
        <v>6.2146199999999999E-2</v>
      </c>
    </row>
    <row r="70" spans="1:3">
      <c r="A70" s="26">
        <v>11.248900000000001</v>
      </c>
      <c r="B70">
        <v>18.252700000000001</v>
      </c>
      <c r="C70" s="27">
        <v>5.7386800000000002E-2</v>
      </c>
    </row>
    <row r="71" spans="1:3">
      <c r="A71" s="26">
        <v>11.254300000000001</v>
      </c>
      <c r="B71">
        <v>18.253399999999999</v>
      </c>
      <c r="C71" s="27">
        <v>5.6971899999999999E-2</v>
      </c>
    </row>
    <row r="72" spans="1:3">
      <c r="A72" s="26">
        <v>12.2918</v>
      </c>
      <c r="B72">
        <v>22.497800000000002</v>
      </c>
      <c r="C72" s="27">
        <v>7.0633899999999999E-2</v>
      </c>
    </row>
    <row r="73" spans="1:3">
      <c r="A73" s="26">
        <v>12.296099999999999</v>
      </c>
      <c r="B73">
        <v>22.468499999999999</v>
      </c>
      <c r="C73" s="27">
        <v>6.7524200000000006E-2</v>
      </c>
    </row>
    <row r="74" spans="1:3">
      <c r="A74" s="26">
        <v>12.2986</v>
      </c>
      <c r="B74">
        <v>22.471900000000002</v>
      </c>
      <c r="C74" s="27">
        <v>6.6347100000000006E-2</v>
      </c>
    </row>
    <row r="75" spans="1:3">
      <c r="A75" s="26">
        <v>13.428000000000001</v>
      </c>
      <c r="B75">
        <v>27.304300000000001</v>
      </c>
      <c r="C75" s="27">
        <v>8.4807999999999995E-2</v>
      </c>
    </row>
    <row r="76" spans="1:3">
      <c r="A76" s="26">
        <v>13.4343</v>
      </c>
      <c r="B76">
        <v>27.277699999999999</v>
      </c>
      <c r="C76" s="27">
        <v>7.9322500000000004E-2</v>
      </c>
    </row>
    <row r="77" spans="1:3">
      <c r="A77" s="26">
        <v>13.4368</v>
      </c>
      <c r="B77">
        <v>27.260999999999999</v>
      </c>
      <c r="C77" s="27">
        <v>7.7828599999999998E-2</v>
      </c>
    </row>
    <row r="78" spans="1:3">
      <c r="A78" s="26">
        <v>14.6739</v>
      </c>
      <c r="B78">
        <v>32.544699999999999</v>
      </c>
      <c r="C78" s="27">
        <v>9.9246000000000001E-2</v>
      </c>
    </row>
    <row r="79" spans="1:3">
      <c r="A79" s="26">
        <v>14.6821</v>
      </c>
      <c r="B79">
        <v>32.458199999999998</v>
      </c>
      <c r="C79" s="27">
        <v>9.0190900000000004E-2</v>
      </c>
    </row>
    <row r="80" spans="1:3">
      <c r="A80" s="26">
        <v>14.6831</v>
      </c>
      <c r="B80">
        <v>32.447699999999998</v>
      </c>
      <c r="C80" s="27">
        <v>9.0939599999999995E-2</v>
      </c>
    </row>
    <row r="81" spans="1:3">
      <c r="A81" s="26">
        <v>16.034099999999999</v>
      </c>
      <c r="B81">
        <v>38.511099999999999</v>
      </c>
      <c r="C81" s="27">
        <v>0.115498</v>
      </c>
    </row>
    <row r="82" spans="1:3">
      <c r="A82" s="26">
        <v>16.040700000000001</v>
      </c>
      <c r="B82">
        <v>38.4465</v>
      </c>
      <c r="C82" s="27">
        <v>0.10463799999999999</v>
      </c>
    </row>
    <row r="83" spans="1:3">
      <c r="A83" s="26">
        <v>16.042999999999999</v>
      </c>
      <c r="B83">
        <v>38.401000000000003</v>
      </c>
      <c r="C83" s="27">
        <v>0.105465</v>
      </c>
    </row>
    <row r="84" spans="1:3">
      <c r="A84" s="26">
        <v>17.5215</v>
      </c>
      <c r="B84">
        <v>45.185400000000001</v>
      </c>
      <c r="C84" s="27">
        <v>0.13129099999999999</v>
      </c>
    </row>
    <row r="85" spans="1:3">
      <c r="A85" s="26">
        <v>17.5276</v>
      </c>
      <c r="B85">
        <v>44.999000000000002</v>
      </c>
      <c r="C85" s="27">
        <v>0.12157900000000001</v>
      </c>
    </row>
    <row r="86" spans="1:3">
      <c r="A86" s="26">
        <v>17.5288</v>
      </c>
      <c r="B86">
        <v>45.089100000000002</v>
      </c>
      <c r="C86" s="27">
        <v>0.121187</v>
      </c>
    </row>
    <row r="87" spans="1:3">
      <c r="A87" s="26">
        <v>19.140899999999998</v>
      </c>
      <c r="B87">
        <v>52.831800000000001</v>
      </c>
      <c r="C87" s="27">
        <v>0.159164</v>
      </c>
    </row>
    <row r="88" spans="1:3">
      <c r="A88" s="26">
        <v>19.152000000000001</v>
      </c>
      <c r="B88">
        <v>52.7318</v>
      </c>
      <c r="C88" s="27">
        <v>0.14408299999999999</v>
      </c>
    </row>
    <row r="89" spans="1:3">
      <c r="A89" s="26">
        <v>19.154199999999999</v>
      </c>
      <c r="B89">
        <v>52.677700000000002</v>
      </c>
      <c r="C89" s="27">
        <v>0.14213999999999999</v>
      </c>
    </row>
    <row r="90" spans="1:3">
      <c r="A90" s="26">
        <v>20.921500000000002</v>
      </c>
      <c r="B90">
        <v>61.476700000000001</v>
      </c>
      <c r="C90" s="27">
        <v>0.16514000000000001</v>
      </c>
    </row>
    <row r="91" spans="1:3">
      <c r="A91" s="26">
        <v>20.9238</v>
      </c>
      <c r="B91">
        <v>61.433300000000003</v>
      </c>
      <c r="C91" s="27">
        <v>0.16719700000000001</v>
      </c>
    </row>
    <row r="92" spans="1:3">
      <c r="A92" s="26">
        <v>20.934699999999999</v>
      </c>
      <c r="B92">
        <v>61.474499999999999</v>
      </c>
      <c r="C92" s="27">
        <v>0.17710999999999999</v>
      </c>
    </row>
    <row r="93" spans="1:3">
      <c r="A93" s="26">
        <v>22.8657</v>
      </c>
      <c r="B93">
        <v>71.691800000000001</v>
      </c>
      <c r="C93" s="27">
        <v>0.192994</v>
      </c>
    </row>
    <row r="94" spans="1:3">
      <c r="A94" s="26">
        <v>22.8689</v>
      </c>
      <c r="B94">
        <v>71.690700000000007</v>
      </c>
      <c r="C94" s="27">
        <v>0.1953</v>
      </c>
    </row>
    <row r="95" spans="1:3">
      <c r="A95" s="26">
        <v>22.8748</v>
      </c>
      <c r="B95">
        <v>72.006900000000002</v>
      </c>
      <c r="C95" s="27">
        <v>0.21171499999999999</v>
      </c>
    </row>
    <row r="96" spans="1:3">
      <c r="A96" s="26">
        <v>24.982500000000002</v>
      </c>
      <c r="B96">
        <v>83.457599999999999</v>
      </c>
      <c r="C96" s="27">
        <v>0.22628000000000001</v>
      </c>
    </row>
    <row r="97" spans="1:3">
      <c r="A97" s="26">
        <v>24.986000000000001</v>
      </c>
      <c r="B97">
        <v>83.839100000000002</v>
      </c>
      <c r="C97" s="27">
        <v>0.25350899999999998</v>
      </c>
    </row>
    <row r="98" spans="1:3">
      <c r="A98" s="26">
        <v>24.999199999999998</v>
      </c>
      <c r="B98">
        <v>82.983999999999995</v>
      </c>
      <c r="C98" s="27">
        <v>0.24316599999999999</v>
      </c>
    </row>
    <row r="99" spans="1:3">
      <c r="A99" s="26">
        <v>27.310199999999998</v>
      </c>
      <c r="B99">
        <v>96.096000000000004</v>
      </c>
      <c r="C99" s="27">
        <v>0.27517000000000003</v>
      </c>
    </row>
    <row r="100" spans="1:3">
      <c r="A100" s="26">
        <v>27.311499999999999</v>
      </c>
      <c r="B100">
        <v>97.561700000000002</v>
      </c>
      <c r="C100" s="27">
        <v>0.310807</v>
      </c>
    </row>
    <row r="101" spans="1:3">
      <c r="A101" s="26">
        <v>27.3171</v>
      </c>
      <c r="B101">
        <v>95.831699999999998</v>
      </c>
      <c r="C101" s="27">
        <v>0.31318800000000002</v>
      </c>
    </row>
    <row r="102" spans="1:3">
      <c r="A102" s="26">
        <v>29.840800000000002</v>
      </c>
      <c r="B102">
        <v>112.339</v>
      </c>
      <c r="C102" s="27">
        <v>0.31126199999999998</v>
      </c>
    </row>
    <row r="103" spans="1:3">
      <c r="A103" s="26">
        <v>29.847000000000001</v>
      </c>
      <c r="B103">
        <v>112.276</v>
      </c>
      <c r="C103" s="27">
        <v>0.311533</v>
      </c>
    </row>
    <row r="104" spans="1:3">
      <c r="A104" s="26">
        <v>29.856200000000001</v>
      </c>
      <c r="B104">
        <v>112.101</v>
      </c>
      <c r="C104" s="27">
        <v>0.33188299999999998</v>
      </c>
    </row>
    <row r="105" spans="1:3">
      <c r="A105" s="26">
        <v>32.616199999999999</v>
      </c>
      <c r="B105">
        <v>130.15899999999999</v>
      </c>
      <c r="C105" s="27">
        <v>0.36369499999999999</v>
      </c>
    </row>
    <row r="106" spans="1:3">
      <c r="A106" s="26">
        <v>32.6173</v>
      </c>
      <c r="B106">
        <v>130.06399999999999</v>
      </c>
      <c r="C106" s="27">
        <v>0.36321500000000001</v>
      </c>
    </row>
    <row r="107" spans="1:3">
      <c r="A107" s="26">
        <v>32.638100000000001</v>
      </c>
      <c r="B107">
        <v>130.01499999999999</v>
      </c>
      <c r="C107" s="27">
        <v>0.372859</v>
      </c>
    </row>
    <row r="108" spans="1:3">
      <c r="A108" s="26">
        <v>35.645200000000003</v>
      </c>
      <c r="B108">
        <v>149.76300000000001</v>
      </c>
      <c r="C108" s="27">
        <v>0.42058000000000001</v>
      </c>
    </row>
    <row r="109" spans="1:3">
      <c r="A109" s="26">
        <v>35.646500000000003</v>
      </c>
      <c r="B109">
        <v>149.78299999999999</v>
      </c>
      <c r="C109" s="27">
        <v>0.42016100000000001</v>
      </c>
    </row>
    <row r="110" spans="1:3">
      <c r="A110" s="26">
        <v>35.668999999999997</v>
      </c>
      <c r="B110">
        <v>149.583</v>
      </c>
      <c r="C110" s="27">
        <v>0.43349500000000002</v>
      </c>
    </row>
    <row r="111" spans="1:3">
      <c r="A111" s="26">
        <v>38.958199999999998</v>
      </c>
      <c r="B111">
        <v>172.16800000000001</v>
      </c>
      <c r="C111" s="27">
        <v>0.49096000000000001</v>
      </c>
    </row>
    <row r="112" spans="1:3">
      <c r="A112" s="26">
        <v>38.959099999999999</v>
      </c>
      <c r="B112">
        <v>172.13900000000001</v>
      </c>
      <c r="C112" s="27">
        <v>0.49184299999999997</v>
      </c>
    </row>
    <row r="113" spans="1:3">
      <c r="A113" s="26">
        <v>38.9846</v>
      </c>
      <c r="B113">
        <v>172.036</v>
      </c>
      <c r="C113" s="27">
        <v>0.48830299999999999</v>
      </c>
    </row>
    <row r="114" spans="1:3">
      <c r="A114" s="26">
        <v>42.577500000000001</v>
      </c>
      <c r="B114">
        <v>196.76900000000001</v>
      </c>
      <c r="C114" s="27">
        <v>0.56114600000000003</v>
      </c>
    </row>
    <row r="115" spans="1:3">
      <c r="A115" s="26">
        <v>42.578899999999997</v>
      </c>
      <c r="B115">
        <v>196.53700000000001</v>
      </c>
      <c r="C115" s="27">
        <v>0.56409699999999996</v>
      </c>
    </row>
    <row r="116" spans="1:3">
      <c r="A116" s="26">
        <v>42.6021</v>
      </c>
      <c r="B116">
        <v>196.387</v>
      </c>
      <c r="C116" s="27">
        <v>0.573766</v>
      </c>
    </row>
    <row r="117" spans="1:3">
      <c r="A117" s="26">
        <v>46.5379</v>
      </c>
      <c r="B117">
        <v>223.25899999999999</v>
      </c>
      <c r="C117" s="27">
        <v>0.65019400000000005</v>
      </c>
    </row>
    <row r="118" spans="1:3">
      <c r="A118" s="26">
        <v>46.5379</v>
      </c>
      <c r="B118">
        <v>223.285</v>
      </c>
      <c r="C118" s="27">
        <v>0.64777300000000004</v>
      </c>
    </row>
    <row r="119" spans="1:3">
      <c r="A119" s="26">
        <v>46.560499999999998</v>
      </c>
      <c r="B119">
        <v>223.23500000000001</v>
      </c>
      <c r="C119" s="27">
        <v>0.65169200000000005</v>
      </c>
    </row>
    <row r="120" spans="1:3">
      <c r="A120" s="26">
        <v>50.8628</v>
      </c>
      <c r="B120">
        <v>253.07400000000001</v>
      </c>
      <c r="C120" s="27">
        <v>0.73091399999999995</v>
      </c>
    </row>
    <row r="121" spans="1:3">
      <c r="A121" s="26">
        <v>50.863599999999998</v>
      </c>
      <c r="B121">
        <v>253.149</v>
      </c>
      <c r="C121" s="27">
        <v>0.73290100000000002</v>
      </c>
    </row>
    <row r="122" spans="1:3">
      <c r="A122" s="26">
        <v>50.883299999999998</v>
      </c>
      <c r="B122">
        <v>253.13200000000001</v>
      </c>
      <c r="C122" s="27">
        <v>0.73375599999999996</v>
      </c>
    </row>
    <row r="123" spans="1:3">
      <c r="A123" s="26">
        <v>55.584899999999998</v>
      </c>
      <c r="B123">
        <v>284.22199999999998</v>
      </c>
      <c r="C123" s="27">
        <v>0.84001499999999996</v>
      </c>
    </row>
    <row r="124" spans="1:3">
      <c r="A124" s="26">
        <v>55.585000000000001</v>
      </c>
      <c r="B124">
        <v>284.29399999999998</v>
      </c>
      <c r="C124" s="27">
        <v>0.84051799999999999</v>
      </c>
    </row>
    <row r="125" spans="1:3">
      <c r="A125" s="26">
        <v>55.587699999999998</v>
      </c>
      <c r="B125">
        <v>284.40800000000002</v>
      </c>
      <c r="C125" s="27">
        <v>0.83651699999999996</v>
      </c>
    </row>
    <row r="126" spans="1:3">
      <c r="A126" s="26">
        <v>60.831299999999999</v>
      </c>
      <c r="B126">
        <v>321.06700000000001</v>
      </c>
      <c r="C126" s="27">
        <v>0.95082599999999995</v>
      </c>
    </row>
    <row r="127" spans="1:3">
      <c r="A127" s="26">
        <v>60.836100000000002</v>
      </c>
      <c r="B127">
        <v>320.94900000000001</v>
      </c>
      <c r="C127" s="27">
        <v>0.94624299999999995</v>
      </c>
    </row>
    <row r="128" spans="1:3">
      <c r="A128" s="26">
        <v>60.853200000000001</v>
      </c>
      <c r="B128">
        <v>321.80500000000001</v>
      </c>
      <c r="C128" s="27">
        <v>1.0150399999999999</v>
      </c>
    </row>
    <row r="129" spans="1:3">
      <c r="A129" s="26">
        <v>66.195599999999999</v>
      </c>
      <c r="B129">
        <v>354.92</v>
      </c>
      <c r="C129" s="27">
        <v>1.0564100000000001</v>
      </c>
    </row>
    <row r="130" spans="1:3">
      <c r="A130" s="26">
        <v>66.200900000000004</v>
      </c>
      <c r="B130">
        <v>354.79</v>
      </c>
      <c r="C130" s="27">
        <v>1.0501799999999999</v>
      </c>
    </row>
    <row r="131" spans="1:3">
      <c r="A131" s="26">
        <v>66.217600000000004</v>
      </c>
      <c r="B131">
        <v>355.20699999999999</v>
      </c>
      <c r="C131" s="27">
        <v>1.1123000000000001</v>
      </c>
    </row>
    <row r="132" spans="1:3">
      <c r="A132" s="26">
        <v>72.037700000000001</v>
      </c>
      <c r="B132">
        <v>391.61399999999998</v>
      </c>
      <c r="C132" s="27">
        <v>1.1802600000000001</v>
      </c>
    </row>
    <row r="133" spans="1:3">
      <c r="A133" s="26">
        <v>72.043400000000005</v>
      </c>
      <c r="B133">
        <v>392.2</v>
      </c>
      <c r="C133" s="27">
        <v>1.15785</v>
      </c>
    </row>
    <row r="134" spans="1:3">
      <c r="A134" s="26">
        <v>72.060599999999994</v>
      </c>
      <c r="B134">
        <v>392.57</v>
      </c>
      <c r="C134" s="27">
        <v>1.2314700000000001</v>
      </c>
    </row>
    <row r="135" spans="1:3">
      <c r="A135" s="26">
        <v>78.387699999999995</v>
      </c>
      <c r="B135">
        <v>430.96300000000002</v>
      </c>
      <c r="C135" s="27">
        <v>1.27054</v>
      </c>
    </row>
    <row r="136" spans="1:3">
      <c r="A136" s="26">
        <v>78.390500000000003</v>
      </c>
      <c r="B136">
        <v>430.16300000000001</v>
      </c>
      <c r="C136" s="27">
        <v>1.26586</v>
      </c>
    </row>
    <row r="137" spans="1:3">
      <c r="A137" s="26">
        <v>78.407700000000006</v>
      </c>
      <c r="B137">
        <v>431.53899999999999</v>
      </c>
      <c r="C137" s="27">
        <v>1.3457399999999999</v>
      </c>
    </row>
    <row r="138" spans="1:3">
      <c r="A138" s="26">
        <v>85.293199999999999</v>
      </c>
      <c r="B138">
        <v>470.346</v>
      </c>
      <c r="C138" s="27">
        <v>1.4088099999999999</v>
      </c>
    </row>
    <row r="139" spans="1:3">
      <c r="A139" s="26">
        <v>85.295500000000004</v>
      </c>
      <c r="B139">
        <v>470.90300000000002</v>
      </c>
      <c r="C139" s="27">
        <v>1.40513</v>
      </c>
    </row>
    <row r="140" spans="1:3">
      <c r="A140" s="26">
        <v>85.297799999999995</v>
      </c>
      <c r="B140">
        <v>471.21899999999999</v>
      </c>
      <c r="C140" s="27">
        <v>1.4954700000000001</v>
      </c>
    </row>
    <row r="141" spans="1:3">
      <c r="A141" s="26">
        <v>92.793199999999999</v>
      </c>
      <c r="B141">
        <v>512.08100000000002</v>
      </c>
      <c r="C141" s="27">
        <v>1.5172000000000001</v>
      </c>
    </row>
    <row r="142" spans="1:3">
      <c r="A142" s="26">
        <v>92.796899999999994</v>
      </c>
      <c r="B142">
        <v>512.83699999999999</v>
      </c>
      <c r="C142" s="27">
        <v>1.5282500000000001</v>
      </c>
    </row>
    <row r="143" spans="1:3">
      <c r="A143" s="26">
        <v>92.798100000000005</v>
      </c>
      <c r="B143">
        <v>514.03899999999999</v>
      </c>
      <c r="C143" s="27">
        <v>1.5794900000000001</v>
      </c>
    </row>
    <row r="144" spans="1:3">
      <c r="A144" s="26">
        <v>100.973</v>
      </c>
      <c r="B144">
        <v>561.26</v>
      </c>
      <c r="C144" s="27">
        <v>1.6883699999999999</v>
      </c>
    </row>
    <row r="145" spans="1:3">
      <c r="A145" s="26">
        <v>100.977</v>
      </c>
      <c r="B145">
        <v>559.66499999999996</v>
      </c>
      <c r="C145" s="27">
        <v>1.69716</v>
      </c>
    </row>
    <row r="146" spans="1:3">
      <c r="A146" s="26">
        <v>100.982</v>
      </c>
      <c r="B146">
        <v>558.899</v>
      </c>
      <c r="C146" s="27">
        <v>1.68207</v>
      </c>
    </row>
    <row r="147" spans="1:3">
      <c r="A147" s="26">
        <v>109.884</v>
      </c>
      <c r="B147">
        <v>608.61800000000005</v>
      </c>
      <c r="C147" s="27">
        <v>1.8256699999999999</v>
      </c>
    </row>
    <row r="148" spans="1:3">
      <c r="A148" s="26">
        <v>109.884</v>
      </c>
      <c r="B148">
        <v>608.13800000000003</v>
      </c>
      <c r="C148" s="27">
        <v>1.8489100000000001</v>
      </c>
    </row>
    <row r="149" spans="1:3">
      <c r="A149" s="26">
        <v>109.884</v>
      </c>
      <c r="B149">
        <v>608.01700000000005</v>
      </c>
      <c r="C149" s="27">
        <v>1.77999</v>
      </c>
    </row>
    <row r="150" spans="1:3">
      <c r="A150" s="26">
        <v>119.56699999999999</v>
      </c>
      <c r="B150">
        <v>658.70799999999997</v>
      </c>
      <c r="C150" s="27">
        <v>1.9141300000000001</v>
      </c>
    </row>
    <row r="151" spans="1:3">
      <c r="A151" s="26">
        <v>119.569</v>
      </c>
      <c r="B151">
        <v>659.67</v>
      </c>
      <c r="C151" s="27">
        <v>1.9709000000000001</v>
      </c>
    </row>
    <row r="152" spans="1:3">
      <c r="A152" s="26">
        <v>119.57</v>
      </c>
      <c r="B152">
        <v>659.44</v>
      </c>
      <c r="C152" s="27">
        <v>1.9434199999999999</v>
      </c>
    </row>
    <row r="153" spans="1:3">
      <c r="A153" s="26">
        <v>130.11000000000001</v>
      </c>
      <c r="B153">
        <v>712.98</v>
      </c>
      <c r="C153" s="27">
        <v>2.0585399999999998</v>
      </c>
    </row>
    <row r="154" spans="1:3">
      <c r="A154" s="26">
        <v>130.11199999999999</v>
      </c>
      <c r="B154">
        <v>713.505</v>
      </c>
      <c r="C154" s="27">
        <v>2.1353800000000001</v>
      </c>
    </row>
    <row r="155" spans="1:3">
      <c r="A155" s="26">
        <v>130.113</v>
      </c>
      <c r="B155">
        <v>714.19799999999998</v>
      </c>
      <c r="C155" s="27">
        <v>2.1535899999999999</v>
      </c>
    </row>
    <row r="156" spans="1:3">
      <c r="A156" s="26">
        <v>141.59800000000001</v>
      </c>
      <c r="B156">
        <v>767.78399999999999</v>
      </c>
      <c r="C156" s="27">
        <v>2.18079</v>
      </c>
    </row>
    <row r="157" spans="1:3">
      <c r="A157" s="26">
        <v>141.59899999999999</v>
      </c>
      <c r="B157">
        <v>769.49099999999999</v>
      </c>
      <c r="C157" s="27">
        <v>2.2894100000000002</v>
      </c>
    </row>
    <row r="158" spans="1:3">
      <c r="A158" s="26">
        <v>141.6</v>
      </c>
      <c r="B158">
        <v>767.77800000000002</v>
      </c>
      <c r="C158" s="27">
        <v>2.2519</v>
      </c>
    </row>
    <row r="159" spans="1:3">
      <c r="A159" s="26">
        <v>154.04599999999999</v>
      </c>
      <c r="B159">
        <v>828.57399999999996</v>
      </c>
      <c r="C159" s="27">
        <v>2.4167800000000002</v>
      </c>
    </row>
    <row r="160" spans="1:3">
      <c r="A160" s="26">
        <v>154.047</v>
      </c>
      <c r="B160">
        <v>828.56200000000001</v>
      </c>
      <c r="C160" s="27">
        <v>2.4146100000000001</v>
      </c>
    </row>
    <row r="161" spans="1:3">
      <c r="A161" s="26">
        <v>154.05799999999999</v>
      </c>
      <c r="B161">
        <v>830.553</v>
      </c>
      <c r="C161" s="27">
        <v>2.4356</v>
      </c>
    </row>
    <row r="162" spans="1:3">
      <c r="A162" s="26">
        <v>167.70400000000001</v>
      </c>
      <c r="B162">
        <v>894.18600000000004</v>
      </c>
      <c r="C162" s="27">
        <v>2.5771600000000001</v>
      </c>
    </row>
    <row r="163" spans="1:3">
      <c r="A163" s="26">
        <v>167.70699999999999</v>
      </c>
      <c r="B163">
        <v>894.46299999999997</v>
      </c>
      <c r="C163" s="27">
        <v>2.5814699999999999</v>
      </c>
    </row>
    <row r="164" spans="1:3">
      <c r="A164" s="26">
        <v>167.71899999999999</v>
      </c>
      <c r="B164">
        <v>895.68600000000004</v>
      </c>
      <c r="C164" s="27">
        <v>2.6524200000000002</v>
      </c>
    </row>
    <row r="165" spans="1:3">
      <c r="A165" s="26">
        <v>182.524</v>
      </c>
      <c r="B165">
        <v>965.49599999999998</v>
      </c>
      <c r="C165" s="27">
        <v>2.7752300000000001</v>
      </c>
    </row>
    <row r="166" spans="1:3">
      <c r="A166" s="26">
        <v>182.52600000000001</v>
      </c>
      <c r="B166">
        <v>965.298</v>
      </c>
      <c r="C166" s="27">
        <v>2.7828300000000001</v>
      </c>
    </row>
    <row r="167" spans="1:3">
      <c r="A167" s="26">
        <v>182.53100000000001</v>
      </c>
      <c r="B167">
        <v>965.79399999999998</v>
      </c>
      <c r="C167" s="27">
        <v>2.7964899999999999</v>
      </c>
    </row>
    <row r="168" spans="1:3">
      <c r="A168" s="26">
        <v>198.60300000000001</v>
      </c>
      <c r="B168">
        <v>1037.05</v>
      </c>
      <c r="C168" s="27">
        <v>2.96055</v>
      </c>
    </row>
    <row r="169" spans="1:3">
      <c r="A169" s="26">
        <v>198.60300000000001</v>
      </c>
      <c r="B169">
        <v>1038.1300000000001</v>
      </c>
      <c r="C169" s="27">
        <v>2.9492400000000001</v>
      </c>
    </row>
    <row r="170" spans="1:3">
      <c r="A170" s="26">
        <v>198.61099999999999</v>
      </c>
      <c r="B170">
        <v>1037.92</v>
      </c>
      <c r="C170" s="27">
        <v>2.8998200000000001</v>
      </c>
    </row>
    <row r="171" spans="1:3">
      <c r="A171" s="26">
        <v>216.10599999999999</v>
      </c>
      <c r="B171">
        <v>1114.8499999999999</v>
      </c>
      <c r="C171" s="27">
        <v>3.1642800000000002</v>
      </c>
    </row>
    <row r="172" spans="1:3">
      <c r="A172" s="26">
        <v>216.126</v>
      </c>
      <c r="B172">
        <v>1113.95</v>
      </c>
      <c r="C172" s="27">
        <v>3.1778200000000001</v>
      </c>
    </row>
    <row r="173" spans="1:3">
      <c r="A173" s="26">
        <v>216.12799999999999</v>
      </c>
      <c r="B173">
        <v>1114.6099999999999</v>
      </c>
      <c r="C173" s="27">
        <v>3.2048199999999998</v>
      </c>
    </row>
    <row r="174" spans="1:3">
      <c r="A174" s="26">
        <v>235.15100000000001</v>
      </c>
      <c r="B174">
        <v>1197.24</v>
      </c>
      <c r="C174" s="27">
        <v>3.3340399999999999</v>
      </c>
    </row>
    <row r="175" spans="1:3">
      <c r="A175" s="26">
        <v>235.214</v>
      </c>
      <c r="B175">
        <v>1194.24</v>
      </c>
      <c r="C175" s="27">
        <v>3.3321900000000002</v>
      </c>
    </row>
    <row r="176" spans="1:3">
      <c r="A176" s="26">
        <v>235.21600000000001</v>
      </c>
      <c r="B176">
        <v>1195.07</v>
      </c>
      <c r="C176" s="27">
        <v>3.3146800000000001</v>
      </c>
    </row>
    <row r="177" spans="1:3">
      <c r="A177" s="26">
        <v>255.88399999999999</v>
      </c>
      <c r="B177">
        <v>1280.43</v>
      </c>
      <c r="C177" s="27">
        <v>3.56257</v>
      </c>
    </row>
    <row r="178" spans="1:3">
      <c r="A178" s="26">
        <v>255.98599999999999</v>
      </c>
      <c r="B178">
        <v>1281.81</v>
      </c>
      <c r="C178" s="27">
        <v>3.6287099999999999</v>
      </c>
    </row>
    <row r="179" spans="1:3">
      <c r="A179" s="26">
        <v>255.99199999999999</v>
      </c>
      <c r="B179">
        <v>1281.5</v>
      </c>
      <c r="C179" s="27">
        <v>3.5493399999999999</v>
      </c>
    </row>
    <row r="180" spans="1:3">
      <c r="A180" s="26">
        <v>278.375</v>
      </c>
      <c r="B180">
        <v>1379.18</v>
      </c>
      <c r="C180" s="27">
        <v>3.9189400000000001</v>
      </c>
    </row>
    <row r="181" spans="1:3">
      <c r="A181" s="26">
        <v>278.56099999999998</v>
      </c>
      <c r="B181">
        <v>1376.93</v>
      </c>
      <c r="C181" s="27">
        <v>3.8826299999999998</v>
      </c>
    </row>
    <row r="182" spans="1:3">
      <c r="A182" s="26">
        <v>278.56799999999998</v>
      </c>
      <c r="B182">
        <v>1376.58</v>
      </c>
      <c r="C182" s="27">
        <v>3.8274499999999998</v>
      </c>
    </row>
    <row r="183" spans="1:3">
      <c r="A183" s="26">
        <v>302.85000000000002</v>
      </c>
      <c r="B183">
        <v>1480.31</v>
      </c>
      <c r="C183" s="27">
        <v>3.8814600000000001</v>
      </c>
    </row>
    <row r="184" spans="1:3">
      <c r="A184" s="26">
        <v>303.01600000000002</v>
      </c>
      <c r="B184">
        <v>1476.84</v>
      </c>
      <c r="C184" s="27">
        <v>3.9960300000000002</v>
      </c>
    </row>
    <row r="185" spans="1:3">
      <c r="A185" s="30">
        <v>303.029</v>
      </c>
      <c r="B185" s="28">
        <v>1475.09</v>
      </c>
      <c r="C185" s="29">
        <v>4.02433</v>
      </c>
    </row>
    <row r="186" spans="1:3">
      <c r="A186" s="26"/>
      <c r="C186" s="27"/>
    </row>
    <row r="187" spans="1:3">
      <c r="A187" s="26"/>
      <c r="C187" s="27"/>
    </row>
    <row r="188" spans="1:3">
      <c r="A188" s="26"/>
      <c r="C188" s="27"/>
    </row>
    <row r="189" spans="1:3">
      <c r="A189" s="26"/>
      <c r="C189" s="27"/>
    </row>
    <row r="190" spans="1:3">
      <c r="A190" s="26"/>
      <c r="C190" s="27"/>
    </row>
    <row r="191" spans="1:3">
      <c r="A191" s="30"/>
      <c r="B191" s="28"/>
      <c r="C191" s="29"/>
    </row>
  </sheetData>
  <mergeCells count="2">
    <mergeCell ref="A4:C4"/>
    <mergeCell ref="D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9BA4-9B08-4796-AF81-C614D50FC09B}">
  <dimension ref="A1:A42"/>
  <sheetViews>
    <sheetView workbookViewId="0"/>
  </sheetViews>
  <sheetFormatPr defaultRowHeight="14.25"/>
  <sheetData>
    <row r="1" spans="1:1">
      <c r="A1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  <row r="10" spans="1:1">
      <c r="A10" t="s">
        <v>27</v>
      </c>
    </row>
    <row r="11" spans="1:1">
      <c r="A11" t="s">
        <v>28</v>
      </c>
    </row>
    <row r="13" spans="1:1">
      <c r="A13" t="s">
        <v>29</v>
      </c>
    </row>
    <row r="14" spans="1:1">
      <c r="A14" t="s">
        <v>30</v>
      </c>
    </row>
    <row r="15" spans="1:1">
      <c r="A15" t="s">
        <v>31</v>
      </c>
    </row>
    <row r="16" spans="1:1">
      <c r="A16" t="s">
        <v>23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8" spans="1:1">
      <c r="A28" t="s">
        <v>42</v>
      </c>
    </row>
    <row r="29" spans="1:1">
      <c r="A29" t="s">
        <v>43</v>
      </c>
    </row>
    <row r="30" spans="1:1">
      <c r="A30" t="s">
        <v>44</v>
      </c>
    </row>
    <row r="31" spans="1:1">
      <c r="A31" t="s">
        <v>23</v>
      </c>
    </row>
    <row r="32" spans="1:1">
      <c r="A32" t="s">
        <v>45</v>
      </c>
    </row>
    <row r="33" spans="1:1">
      <c r="A33" t="s">
        <v>46</v>
      </c>
    </row>
    <row r="34" spans="1:1">
      <c r="A34" t="s">
        <v>47</v>
      </c>
    </row>
    <row r="35" spans="1:1">
      <c r="A35" t="s">
        <v>48</v>
      </c>
    </row>
    <row r="36" spans="1:1">
      <c r="A36" t="s">
        <v>49</v>
      </c>
    </row>
    <row r="37" spans="1:1">
      <c r="A37" t="s">
        <v>50</v>
      </c>
    </row>
    <row r="38" spans="1:1">
      <c r="A38" t="s">
        <v>51</v>
      </c>
    </row>
    <row r="39" spans="1:1">
      <c r="A39" t="s">
        <v>52</v>
      </c>
    </row>
    <row r="40" spans="1:1">
      <c r="A40" t="s">
        <v>53</v>
      </c>
    </row>
    <row r="42" spans="1:1">
      <c r="A4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A2894-94D8-416A-BAB6-12BD608A955B}">
  <dimension ref="A1:W53"/>
  <sheetViews>
    <sheetView workbookViewId="0"/>
  </sheetViews>
  <sheetFormatPr defaultRowHeight="14.25"/>
  <sheetData>
    <row r="1" spans="1:23" ht="15">
      <c r="A1" s="31" t="s">
        <v>56</v>
      </c>
    </row>
    <row r="2" spans="1:23">
      <c r="A2" t="s">
        <v>57</v>
      </c>
      <c r="I2" t="s">
        <v>58</v>
      </c>
    </row>
    <row r="3" spans="1:23">
      <c r="A3" t="s">
        <v>14</v>
      </c>
      <c r="B3" t="s">
        <v>15</v>
      </c>
      <c r="C3" t="s">
        <v>59</v>
      </c>
      <c r="D3" t="s">
        <v>60</v>
      </c>
      <c r="E3" t="s">
        <v>18</v>
      </c>
      <c r="F3" t="s">
        <v>61</v>
      </c>
      <c r="G3" t="s">
        <v>62</v>
      </c>
      <c r="I3" t="s">
        <v>14</v>
      </c>
      <c r="J3" t="s">
        <v>15</v>
      </c>
      <c r="K3" t="s">
        <v>59</v>
      </c>
      <c r="L3" t="s">
        <v>60</v>
      </c>
      <c r="M3" t="s">
        <v>18</v>
      </c>
      <c r="N3" t="s">
        <v>61</v>
      </c>
      <c r="O3" t="s">
        <v>62</v>
      </c>
      <c r="Q3" t="s">
        <v>63</v>
      </c>
      <c r="R3" t="s">
        <v>64</v>
      </c>
      <c r="S3" t="s">
        <v>65</v>
      </c>
      <c r="T3" t="s">
        <v>66</v>
      </c>
      <c r="U3" t="s">
        <v>67</v>
      </c>
      <c r="V3" t="s">
        <v>68</v>
      </c>
      <c r="W3" t="s">
        <v>69</v>
      </c>
    </row>
    <row r="4" spans="1:23">
      <c r="A4" t="s">
        <v>70</v>
      </c>
      <c r="B4" t="s">
        <v>71</v>
      </c>
      <c r="C4" t="s">
        <v>72</v>
      </c>
      <c r="D4" t="s">
        <v>71</v>
      </c>
      <c r="E4" t="s">
        <v>71</v>
      </c>
      <c r="F4" t="s">
        <v>72</v>
      </c>
      <c r="G4" t="s">
        <v>71</v>
      </c>
      <c r="I4" t="s">
        <v>70</v>
      </c>
      <c r="J4" t="s">
        <v>71</v>
      </c>
      <c r="K4" t="s">
        <v>72</v>
      </c>
      <c r="L4" t="s">
        <v>71</v>
      </c>
      <c r="M4" t="s">
        <v>71</v>
      </c>
      <c r="N4" t="s">
        <v>72</v>
      </c>
      <c r="O4" t="s">
        <v>71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</row>
    <row r="5" spans="1:23">
      <c r="A5">
        <v>0</v>
      </c>
      <c r="B5">
        <v>0</v>
      </c>
      <c r="C5">
        <v>0</v>
      </c>
      <c r="D5" t="s">
        <v>73</v>
      </c>
      <c r="E5">
        <v>0</v>
      </c>
      <c r="F5">
        <v>0</v>
      </c>
      <c r="G5" t="s">
        <v>73</v>
      </c>
      <c r="I5">
        <v>0</v>
      </c>
      <c r="J5">
        <v>0</v>
      </c>
      <c r="K5">
        <v>0</v>
      </c>
      <c r="L5" t="s">
        <v>73</v>
      </c>
      <c r="M5">
        <v>0</v>
      </c>
      <c r="N5">
        <v>0</v>
      </c>
      <c r="O5" t="s">
        <v>73</v>
      </c>
    </row>
    <row r="6" spans="1:23">
      <c r="A6">
        <v>5</v>
      </c>
      <c r="B6">
        <v>0.94059999999999999</v>
      </c>
      <c r="C6">
        <v>1.6970000000000001</v>
      </c>
      <c r="D6">
        <v>0.33929999999999999</v>
      </c>
      <c r="E6">
        <v>1.159</v>
      </c>
      <c r="F6">
        <v>-4.0990000000000002</v>
      </c>
      <c r="G6">
        <v>0.81979999999999997</v>
      </c>
      <c r="I6">
        <v>5</v>
      </c>
      <c r="J6">
        <v>0.96914621342115503</v>
      </c>
      <c r="K6">
        <v>1.2756844968518499</v>
      </c>
      <c r="L6">
        <v>0.25513689937036999</v>
      </c>
      <c r="M6">
        <v>0.37391876036941601</v>
      </c>
      <c r="N6">
        <v>-0.59390930499523198</v>
      </c>
      <c r="O6">
        <v>0.118781860999046</v>
      </c>
      <c r="Q6">
        <v>0</v>
      </c>
      <c r="R6">
        <v>-3.03489404860251</v>
      </c>
      <c r="S6">
        <v>24.827077380562599</v>
      </c>
      <c r="T6">
        <v>24.804922083592501</v>
      </c>
      <c r="U6">
        <v>67.737811874942395</v>
      </c>
      <c r="V6">
        <v>85.510873261887397</v>
      </c>
      <c r="W6">
        <v>85.510873261887397</v>
      </c>
    </row>
    <row r="7" spans="1:23">
      <c r="A7">
        <v>10</v>
      </c>
      <c r="B7">
        <v>13.26</v>
      </c>
      <c r="C7">
        <v>31.05</v>
      </c>
      <c r="D7">
        <v>3.105</v>
      </c>
      <c r="E7">
        <v>4.7480000000000002</v>
      </c>
      <c r="F7">
        <v>-16.43</v>
      </c>
      <c r="G7">
        <v>1.643</v>
      </c>
      <c r="I7">
        <v>10</v>
      </c>
      <c r="J7">
        <v>13.3901608019357</v>
      </c>
      <c r="K7">
        <v>30.630664983606302</v>
      </c>
      <c r="L7">
        <v>3.0630664983606302</v>
      </c>
      <c r="M7">
        <v>3.9476072408146399</v>
      </c>
      <c r="N7">
        <v>-8.8454074245400793</v>
      </c>
      <c r="O7">
        <v>0.88454074245400804</v>
      </c>
      <c r="Q7">
        <v>0</v>
      </c>
      <c r="R7">
        <v>-0.98160484114409596</v>
      </c>
      <c r="S7">
        <v>1.3505153507040899</v>
      </c>
      <c r="T7">
        <v>1.3505153507040799</v>
      </c>
      <c r="U7">
        <v>16.857471760432901</v>
      </c>
      <c r="V7">
        <v>46.163071061837499</v>
      </c>
      <c r="W7">
        <v>46.163071061837499</v>
      </c>
    </row>
    <row r="8" spans="1:23">
      <c r="A8">
        <v>12.25</v>
      </c>
      <c r="B8">
        <v>22.36</v>
      </c>
      <c r="C8">
        <v>70.95</v>
      </c>
      <c r="D8">
        <v>5.7919999999999998</v>
      </c>
      <c r="E8">
        <v>8.3149999999999995</v>
      </c>
      <c r="F8">
        <v>-30.91</v>
      </c>
      <c r="G8">
        <v>2.5230000000000001</v>
      </c>
    </row>
    <row r="9" spans="1:23">
      <c r="A9" t="s">
        <v>74</v>
      </c>
    </row>
    <row r="10" spans="1:23">
      <c r="A10">
        <v>12.25</v>
      </c>
      <c r="B10">
        <v>22.35</v>
      </c>
      <c r="C10">
        <v>70.95</v>
      </c>
      <c r="D10">
        <v>5.7919999999999998</v>
      </c>
      <c r="E10">
        <v>8.3149999999999995</v>
      </c>
      <c r="F10">
        <v>-30.91</v>
      </c>
      <c r="G10">
        <v>2.5230000000000001</v>
      </c>
    </row>
    <row r="11" spans="1:23">
      <c r="A11">
        <v>15</v>
      </c>
      <c r="B11">
        <v>33.840000000000003</v>
      </c>
      <c r="C11">
        <v>148.1</v>
      </c>
      <c r="D11">
        <v>9.8710000000000004</v>
      </c>
      <c r="E11">
        <v>13.95</v>
      </c>
      <c r="F11">
        <v>-61.26</v>
      </c>
      <c r="G11">
        <v>4.0839999999999996</v>
      </c>
      <c r="I11">
        <v>15</v>
      </c>
      <c r="J11">
        <v>33.869973471502497</v>
      </c>
      <c r="K11">
        <v>147.90260824877399</v>
      </c>
      <c r="L11">
        <v>9.8601738832516492</v>
      </c>
      <c r="M11">
        <v>13.1633131752524</v>
      </c>
      <c r="N11">
        <v>-49.547089380011201</v>
      </c>
      <c r="O11">
        <v>3.3031392920007501</v>
      </c>
      <c r="Q11">
        <v>0</v>
      </c>
      <c r="R11">
        <v>-8.8574088364616804E-2</v>
      </c>
      <c r="S11">
        <v>0.133282748970452</v>
      </c>
      <c r="T11">
        <v>0.109675987725148</v>
      </c>
      <c r="U11">
        <v>5.6393320770437096</v>
      </c>
      <c r="V11">
        <v>19.1199977472881</v>
      </c>
      <c r="W11">
        <v>19.1199977472881</v>
      </c>
    </row>
    <row r="12" spans="1:23">
      <c r="A12">
        <v>20</v>
      </c>
      <c r="B12">
        <v>56.93</v>
      </c>
      <c r="C12">
        <v>373.6</v>
      </c>
      <c r="D12">
        <v>18.68</v>
      </c>
      <c r="E12">
        <v>26.77</v>
      </c>
      <c r="F12">
        <v>-161.9</v>
      </c>
      <c r="G12">
        <v>8.093</v>
      </c>
      <c r="I12">
        <v>20</v>
      </c>
      <c r="J12">
        <v>56.888753131896102</v>
      </c>
      <c r="K12">
        <v>373.75656137669301</v>
      </c>
      <c r="L12">
        <v>18.687828068834602</v>
      </c>
      <c r="M12">
        <v>25.9895422436717</v>
      </c>
      <c r="N12">
        <v>-146.03428349674201</v>
      </c>
      <c r="O12">
        <v>7.3017141748370999</v>
      </c>
      <c r="Q12">
        <v>0</v>
      </c>
      <c r="R12">
        <v>7.2451902518690006E-2</v>
      </c>
      <c r="S12">
        <v>-4.19061500785151E-2</v>
      </c>
      <c r="T12">
        <v>-4.1906150078530303E-2</v>
      </c>
      <c r="U12">
        <v>2.9154193363026701</v>
      </c>
      <c r="V12">
        <v>9.7997013608757602</v>
      </c>
      <c r="W12">
        <v>9.7774104184220008</v>
      </c>
    </row>
    <row r="13" spans="1:23">
      <c r="A13">
        <v>25</v>
      </c>
      <c r="B13">
        <v>83.45</v>
      </c>
      <c r="C13">
        <v>723.1</v>
      </c>
      <c r="D13">
        <v>28.93</v>
      </c>
      <c r="E13">
        <v>42.26</v>
      </c>
      <c r="F13">
        <v>-333.4</v>
      </c>
      <c r="G13">
        <v>13.34</v>
      </c>
      <c r="I13">
        <v>25</v>
      </c>
      <c r="J13">
        <v>82.988538987451307</v>
      </c>
      <c r="K13">
        <v>723.62647451280895</v>
      </c>
      <c r="L13">
        <v>28.9450589805123</v>
      </c>
      <c r="M13">
        <v>41.480032960136199</v>
      </c>
      <c r="N13">
        <v>-313.37434949059599</v>
      </c>
      <c r="O13">
        <v>12.5349739796238</v>
      </c>
      <c r="Q13">
        <v>0</v>
      </c>
      <c r="R13">
        <v>0.552979044396263</v>
      </c>
      <c r="S13">
        <v>-7.2807981304053901E-2</v>
      </c>
      <c r="T13">
        <v>-5.2053164577897403E-2</v>
      </c>
      <c r="U13">
        <v>1.8456389963647399</v>
      </c>
      <c r="V13">
        <v>6.00649385405013</v>
      </c>
      <c r="W13">
        <v>6.0346778139139801</v>
      </c>
    </row>
    <row r="14" spans="1:23">
      <c r="A14">
        <v>30</v>
      </c>
      <c r="B14">
        <v>113.2</v>
      </c>
      <c r="C14">
        <v>1213</v>
      </c>
      <c r="D14">
        <v>40.450000000000003</v>
      </c>
      <c r="E14">
        <v>60.06</v>
      </c>
      <c r="F14">
        <v>-588.29999999999995</v>
      </c>
      <c r="G14">
        <v>19.61</v>
      </c>
      <c r="I14">
        <v>30</v>
      </c>
      <c r="J14">
        <v>113.04184797101399</v>
      </c>
      <c r="K14">
        <v>1211.7508137862701</v>
      </c>
      <c r="L14">
        <v>40.391693792875699</v>
      </c>
      <c r="M14">
        <v>59.179193337264302</v>
      </c>
      <c r="N14">
        <v>-563.62498633165796</v>
      </c>
      <c r="O14">
        <v>18.787499544388599</v>
      </c>
      <c r="Q14">
        <v>0</v>
      </c>
      <c r="R14">
        <v>0.13971027295539901</v>
      </c>
      <c r="S14">
        <v>0.102983199812758</v>
      </c>
      <c r="T14">
        <v>0.14414389894758001</v>
      </c>
      <c r="U14">
        <v>1.46654455999947</v>
      </c>
      <c r="V14">
        <v>4.1942909516134197</v>
      </c>
      <c r="W14">
        <v>4.1942909516134304</v>
      </c>
    </row>
    <row r="15" spans="1:23">
      <c r="A15">
        <v>35</v>
      </c>
      <c r="B15">
        <v>145.30000000000001</v>
      </c>
      <c r="C15">
        <v>1859</v>
      </c>
      <c r="D15">
        <v>53.11</v>
      </c>
      <c r="E15">
        <v>79.89</v>
      </c>
      <c r="F15">
        <v>-937.4</v>
      </c>
      <c r="G15">
        <v>26.78</v>
      </c>
      <c r="I15">
        <v>35</v>
      </c>
      <c r="J15">
        <v>145.52589129061201</v>
      </c>
      <c r="K15">
        <v>1858.1298028368001</v>
      </c>
      <c r="L15">
        <v>53.089422938194502</v>
      </c>
      <c r="M15">
        <v>79.030224552160007</v>
      </c>
      <c r="N15">
        <v>-907.928056488793</v>
      </c>
      <c r="O15">
        <v>25.940801613965501</v>
      </c>
      <c r="Q15">
        <v>0</v>
      </c>
      <c r="R15">
        <v>-0.15546544433048601</v>
      </c>
      <c r="S15">
        <v>4.6809960365257697E-2</v>
      </c>
      <c r="T15">
        <v>3.87442323581869E-2</v>
      </c>
      <c r="U15">
        <v>1.0761990835397499</v>
      </c>
      <c r="V15">
        <v>3.14400933552449</v>
      </c>
      <c r="W15">
        <v>3.1336758253714598</v>
      </c>
    </row>
    <row r="16" spans="1:23">
      <c r="A16">
        <v>40</v>
      </c>
      <c r="B16">
        <v>178.8</v>
      </c>
      <c r="C16">
        <v>2669</v>
      </c>
      <c r="D16">
        <v>66.709999999999994</v>
      </c>
      <c r="E16">
        <v>101.5</v>
      </c>
      <c r="F16">
        <v>-1390</v>
      </c>
      <c r="G16">
        <v>34.75</v>
      </c>
      <c r="I16">
        <v>40</v>
      </c>
      <c r="J16">
        <v>179.02586562386901</v>
      </c>
      <c r="K16">
        <v>2668.8815447443899</v>
      </c>
      <c r="L16">
        <v>66.722038618609901</v>
      </c>
      <c r="M16">
        <v>100.621018763216</v>
      </c>
      <c r="N16">
        <v>-1355.9592057842401</v>
      </c>
      <c r="O16">
        <v>33.898980144606099</v>
      </c>
      <c r="Q16">
        <v>0</v>
      </c>
      <c r="R16">
        <v>-0.12632305585530301</v>
      </c>
      <c r="S16">
        <v>4.4381886699690898E-3</v>
      </c>
      <c r="T16">
        <v>-1.80461978863194E-2</v>
      </c>
      <c r="U16">
        <v>0.86599136628957096</v>
      </c>
      <c r="V16">
        <v>2.4489780011334701</v>
      </c>
      <c r="W16">
        <v>2.4489780011334799</v>
      </c>
    </row>
    <row r="17" spans="1:23">
      <c r="A17">
        <v>45</v>
      </c>
      <c r="B17">
        <v>213.1</v>
      </c>
      <c r="C17">
        <v>3648</v>
      </c>
      <c r="D17">
        <v>81.069999999999993</v>
      </c>
      <c r="E17">
        <v>124.5</v>
      </c>
      <c r="F17">
        <v>-1955</v>
      </c>
      <c r="G17">
        <v>43.43</v>
      </c>
      <c r="I17">
        <v>45</v>
      </c>
      <c r="J17">
        <v>212.75886056202</v>
      </c>
      <c r="K17">
        <v>3648.5658399379899</v>
      </c>
      <c r="L17">
        <v>81.079240887511006</v>
      </c>
      <c r="M17">
        <v>123.65388201636399</v>
      </c>
      <c r="N17">
        <v>-1915.8588507984</v>
      </c>
      <c r="O17">
        <v>42.5746411288535</v>
      </c>
      <c r="Q17">
        <v>0</v>
      </c>
      <c r="R17">
        <v>0.160084203650663</v>
      </c>
      <c r="S17">
        <v>-1.5510963212668099E-2</v>
      </c>
      <c r="T17">
        <v>-1.13986524128326E-2</v>
      </c>
      <c r="U17">
        <v>0.67961283826134999</v>
      </c>
      <c r="V17">
        <v>2.00210481849567</v>
      </c>
      <c r="W17">
        <v>1.96951156147008</v>
      </c>
    </row>
    <row r="18" spans="1:23">
      <c r="A18">
        <v>50</v>
      </c>
      <c r="B18">
        <v>247.3</v>
      </c>
      <c r="C18">
        <v>4799</v>
      </c>
      <c r="D18">
        <v>95.98</v>
      </c>
      <c r="E18">
        <v>148.69999999999999</v>
      </c>
      <c r="F18">
        <v>-2637</v>
      </c>
      <c r="G18">
        <v>52.74</v>
      </c>
      <c r="I18">
        <v>50</v>
      </c>
      <c r="J18">
        <v>247.089970713339</v>
      </c>
      <c r="K18">
        <v>4797.7288182014199</v>
      </c>
      <c r="L18">
        <v>95.954576364028497</v>
      </c>
      <c r="M18">
        <v>147.830807745333</v>
      </c>
      <c r="N18">
        <v>-2593.8115690652198</v>
      </c>
      <c r="O18">
        <v>51.8762313813044</v>
      </c>
      <c r="Q18">
        <v>0</v>
      </c>
      <c r="R18">
        <v>8.4928947295031906E-2</v>
      </c>
      <c r="S18">
        <v>2.6488472568680501E-2</v>
      </c>
      <c r="T18">
        <v>2.6488472568682302E-2</v>
      </c>
      <c r="U18">
        <v>0.58452740730795305</v>
      </c>
      <c r="V18">
        <v>1.6377865352588501</v>
      </c>
      <c r="W18">
        <v>1.6377865352588601</v>
      </c>
    </row>
    <row r="19" spans="1:23">
      <c r="A19">
        <v>55</v>
      </c>
      <c r="B19">
        <v>281.3</v>
      </c>
      <c r="C19">
        <v>6121</v>
      </c>
      <c r="D19">
        <v>111.3</v>
      </c>
      <c r="E19">
        <v>173.9</v>
      </c>
      <c r="F19">
        <v>-3443</v>
      </c>
      <c r="G19">
        <v>62.61</v>
      </c>
      <c r="I19">
        <v>55</v>
      </c>
      <c r="J19">
        <v>280.354265399013</v>
      </c>
      <c r="K19">
        <v>6116.7903666012098</v>
      </c>
      <c r="L19">
        <v>111.21437030184001</v>
      </c>
      <c r="M19">
        <v>172.943108677927</v>
      </c>
      <c r="N19">
        <v>-3395.0806106848199</v>
      </c>
      <c r="O19">
        <v>61.728738376087598</v>
      </c>
      <c r="Q19">
        <v>0</v>
      </c>
      <c r="R19">
        <v>0.33620142232026101</v>
      </c>
      <c r="S19">
        <v>6.8773621937401594E-2</v>
      </c>
      <c r="T19">
        <v>7.6935937250487099E-2</v>
      </c>
      <c r="U19">
        <v>0.55025377922489604</v>
      </c>
      <c r="V19">
        <v>1.3917917314893</v>
      </c>
      <c r="W19">
        <v>1.4075413255267599</v>
      </c>
    </row>
    <row r="20" spans="1:23">
      <c r="A20">
        <v>60</v>
      </c>
      <c r="B20">
        <v>314.60000000000002</v>
      </c>
      <c r="C20">
        <v>7611</v>
      </c>
      <c r="D20">
        <v>126.8</v>
      </c>
      <c r="E20">
        <v>199.8</v>
      </c>
      <c r="F20">
        <v>-4377</v>
      </c>
      <c r="G20">
        <v>72.959999999999994</v>
      </c>
      <c r="I20">
        <v>60</v>
      </c>
      <c r="J20">
        <v>315.255224368754</v>
      </c>
      <c r="K20">
        <v>7605.6438913583497</v>
      </c>
      <c r="L20">
        <v>126.76073152263901</v>
      </c>
      <c r="M20">
        <v>198.822716832374</v>
      </c>
      <c r="N20">
        <v>-4323.7191185841402</v>
      </c>
      <c r="O20">
        <v>72.061985309735704</v>
      </c>
      <c r="Q20">
        <v>0</v>
      </c>
      <c r="R20">
        <v>-0.20827220875850599</v>
      </c>
      <c r="S20">
        <v>7.0373257675043294E-2</v>
      </c>
      <c r="T20">
        <v>3.0968830726177E-2</v>
      </c>
      <c r="U20">
        <v>0.48913071452704998</v>
      </c>
      <c r="V20">
        <v>1.21729224162337</v>
      </c>
      <c r="W20">
        <v>1.2308315381911199</v>
      </c>
    </row>
    <row r="21" spans="1:23">
      <c r="A21">
        <v>65</v>
      </c>
      <c r="B21">
        <v>347.3</v>
      </c>
      <c r="C21">
        <v>9266</v>
      </c>
      <c r="D21">
        <v>142.6</v>
      </c>
      <c r="E21">
        <v>226.3</v>
      </c>
      <c r="F21">
        <v>-5442</v>
      </c>
      <c r="G21">
        <v>83.73</v>
      </c>
      <c r="I21">
        <v>65</v>
      </c>
      <c r="J21">
        <v>347.50904350104798</v>
      </c>
      <c r="K21">
        <v>9264.9233468122893</v>
      </c>
      <c r="L21">
        <v>142.53728225865001</v>
      </c>
      <c r="M21">
        <v>225.365689106736</v>
      </c>
      <c r="N21">
        <v>-5383.8464451255804</v>
      </c>
      <c r="O21">
        <v>82.828406848085905</v>
      </c>
      <c r="Q21">
        <v>0</v>
      </c>
      <c r="R21">
        <v>-6.0191045507687703E-2</v>
      </c>
      <c r="S21">
        <v>1.16193955072675E-2</v>
      </c>
      <c r="T21">
        <v>4.3981585798930203E-2</v>
      </c>
      <c r="U21">
        <v>0.412863850315214</v>
      </c>
      <c r="V21">
        <v>1.06860630052209</v>
      </c>
      <c r="W21">
        <v>1.07678627960592</v>
      </c>
    </row>
    <row r="22" spans="1:23">
      <c r="A22">
        <v>70</v>
      </c>
      <c r="B22">
        <v>379.2</v>
      </c>
      <c r="C22">
        <v>11080</v>
      </c>
      <c r="D22">
        <v>158.30000000000001</v>
      </c>
      <c r="E22">
        <v>253.2</v>
      </c>
      <c r="F22">
        <v>-6641</v>
      </c>
      <c r="G22">
        <v>94.87</v>
      </c>
      <c r="I22">
        <v>70</v>
      </c>
      <c r="J22">
        <v>378.867390165117</v>
      </c>
      <c r="K22">
        <v>11080.926122147501</v>
      </c>
      <c r="L22">
        <v>158.29894460210701</v>
      </c>
      <c r="M22">
        <v>252.26563309598399</v>
      </c>
      <c r="N22">
        <v>-6577.6681945714199</v>
      </c>
      <c r="O22">
        <v>93.966688493877399</v>
      </c>
      <c r="Q22">
        <v>0</v>
      </c>
      <c r="R22">
        <v>8.7713564051315696E-2</v>
      </c>
      <c r="S22">
        <v>-8.3585031362887301E-3</v>
      </c>
      <c r="T22">
        <v>6.6670744968766904E-4</v>
      </c>
      <c r="U22">
        <v>0.36902326382914902</v>
      </c>
      <c r="V22">
        <v>0.95364862864898603</v>
      </c>
      <c r="W22">
        <v>0.95215716888643698</v>
      </c>
    </row>
    <row r="23" spans="1:23">
      <c r="A23">
        <v>75</v>
      </c>
      <c r="B23">
        <v>410.2</v>
      </c>
      <c r="C23">
        <v>13060</v>
      </c>
      <c r="D23">
        <v>174.1</v>
      </c>
      <c r="E23">
        <v>280.39999999999998</v>
      </c>
      <c r="F23">
        <v>-7975</v>
      </c>
      <c r="G23">
        <v>106.3</v>
      </c>
      <c r="I23">
        <v>75</v>
      </c>
      <c r="J23">
        <v>410.40635223087901</v>
      </c>
      <c r="K23">
        <v>13055.048323290899</v>
      </c>
      <c r="L23">
        <v>174.067310977212</v>
      </c>
      <c r="M23">
        <v>279.49235427130498</v>
      </c>
      <c r="N23">
        <v>-7906.8782470569604</v>
      </c>
      <c r="O23">
        <v>105.42504329409201</v>
      </c>
      <c r="Q23">
        <v>0</v>
      </c>
      <c r="R23">
        <v>-5.0305273252054902E-2</v>
      </c>
      <c r="S23">
        <v>3.7914829318981803E-2</v>
      </c>
      <c r="T23">
        <v>1.8776003898593501E-2</v>
      </c>
      <c r="U23">
        <v>0.32369676486968701</v>
      </c>
      <c r="V23">
        <v>0.85419125947382801</v>
      </c>
      <c r="W23">
        <v>0.82310132258435198</v>
      </c>
    </row>
    <row r="24" spans="1:23">
      <c r="A24">
        <v>80</v>
      </c>
      <c r="B24">
        <v>440.3</v>
      </c>
      <c r="C24">
        <v>15180</v>
      </c>
      <c r="D24">
        <v>189.8</v>
      </c>
      <c r="E24">
        <v>307.89999999999998</v>
      </c>
      <c r="F24">
        <v>-9445</v>
      </c>
      <c r="G24">
        <v>118.1</v>
      </c>
      <c r="I24">
        <v>80</v>
      </c>
      <c r="J24">
        <v>440.51327726381498</v>
      </c>
      <c r="K24">
        <v>15183.1024347108</v>
      </c>
      <c r="L24">
        <v>189.78878043388499</v>
      </c>
      <c r="M24">
        <v>306.949434654909</v>
      </c>
      <c r="N24">
        <v>-9372.8523376818703</v>
      </c>
      <c r="O24">
        <v>117.16065422102299</v>
      </c>
      <c r="Q24">
        <v>0</v>
      </c>
      <c r="R24">
        <v>-4.8439078767931E-2</v>
      </c>
      <c r="S24">
        <v>-2.0437646316694001E-2</v>
      </c>
      <c r="T24">
        <v>5.9112571728550103E-3</v>
      </c>
      <c r="U24">
        <v>0.30872534754486403</v>
      </c>
      <c r="V24">
        <v>0.76387149092776996</v>
      </c>
      <c r="W24">
        <v>0.79538169261353697</v>
      </c>
    </row>
    <row r="25" spans="1:23">
      <c r="A25">
        <v>85</v>
      </c>
      <c r="B25">
        <v>469.5</v>
      </c>
      <c r="C25">
        <v>17460</v>
      </c>
      <c r="D25">
        <v>205.4</v>
      </c>
      <c r="E25">
        <v>335.4</v>
      </c>
      <c r="F25">
        <v>-11050</v>
      </c>
      <c r="G25">
        <v>130</v>
      </c>
      <c r="I25">
        <v>85</v>
      </c>
      <c r="J25">
        <v>468.69351108851902</v>
      </c>
      <c r="K25">
        <v>17456.1194055917</v>
      </c>
      <c r="L25">
        <v>205.36611065401999</v>
      </c>
      <c r="M25">
        <v>334.50057783671298</v>
      </c>
      <c r="N25">
        <v>-10976.429710528801</v>
      </c>
      <c r="O25">
        <v>129.13446718269199</v>
      </c>
      <c r="Q25">
        <v>0</v>
      </c>
      <c r="R25">
        <v>0.171776125980967</v>
      </c>
      <c r="S25">
        <v>2.2225626622501299E-2</v>
      </c>
      <c r="T25">
        <v>1.64991947321677E-2</v>
      </c>
      <c r="U25">
        <v>0.268164031987775</v>
      </c>
      <c r="V25">
        <v>0.665794474851644</v>
      </c>
      <c r="W25">
        <v>0.66579447485163601</v>
      </c>
    </row>
    <row r="26" spans="1:23">
      <c r="A26">
        <v>90</v>
      </c>
      <c r="B26">
        <v>497.9</v>
      </c>
      <c r="C26">
        <v>19880</v>
      </c>
      <c r="D26">
        <v>220.9</v>
      </c>
      <c r="E26">
        <v>363.1</v>
      </c>
      <c r="F26">
        <v>-12800</v>
      </c>
      <c r="G26">
        <v>142.19999999999999</v>
      </c>
      <c r="I26">
        <v>90</v>
      </c>
      <c r="J26">
        <v>496.85356205139101</v>
      </c>
      <c r="K26">
        <v>19871.983875206199</v>
      </c>
      <c r="L26">
        <v>220.79982083562501</v>
      </c>
      <c r="M26">
        <v>362.110632331712</v>
      </c>
      <c r="N26">
        <v>-12717.973034647801</v>
      </c>
      <c r="O26">
        <v>141.31081149608701</v>
      </c>
      <c r="Q26">
        <v>0</v>
      </c>
      <c r="R26">
        <v>0.21017030500270201</v>
      </c>
      <c r="S26">
        <v>4.0322559324626701E-2</v>
      </c>
      <c r="T26">
        <v>4.53504592009282E-2</v>
      </c>
      <c r="U26">
        <v>0.27247801384940001</v>
      </c>
      <c r="V26">
        <v>0.64083566681333004</v>
      </c>
      <c r="W26">
        <v>0.62530837124633898</v>
      </c>
    </row>
    <row r="27" spans="1:23">
      <c r="A27">
        <v>95</v>
      </c>
      <c r="B27">
        <v>525.79999999999995</v>
      </c>
      <c r="C27">
        <v>22440</v>
      </c>
      <c r="D27">
        <v>236.2</v>
      </c>
      <c r="E27">
        <v>390.7</v>
      </c>
      <c r="F27">
        <v>-14680</v>
      </c>
      <c r="G27">
        <v>154.6</v>
      </c>
      <c r="I27">
        <v>95</v>
      </c>
      <c r="J27">
        <v>526.75792254339501</v>
      </c>
      <c r="K27">
        <v>22429.439480340901</v>
      </c>
      <c r="L27">
        <v>236.09936295095699</v>
      </c>
      <c r="M27">
        <v>389.75802287004097</v>
      </c>
      <c r="N27">
        <v>-14597.5726923129</v>
      </c>
      <c r="O27">
        <v>153.65865991908299</v>
      </c>
      <c r="Q27">
        <v>0</v>
      </c>
      <c r="R27">
        <v>-0.182183823391984</v>
      </c>
      <c r="S27">
        <v>4.70611393004556E-2</v>
      </c>
      <c r="T27">
        <v>4.2606710009449301E-2</v>
      </c>
      <c r="U27">
        <v>0.24109985409743301</v>
      </c>
      <c r="V27">
        <v>0.56149392157394995</v>
      </c>
      <c r="W27">
        <v>0.60888750382689205</v>
      </c>
    </row>
    <row r="28" spans="1:23">
      <c r="A28">
        <v>96.6</v>
      </c>
      <c r="B28">
        <v>534.70000000000005</v>
      </c>
      <c r="C28">
        <v>23280</v>
      </c>
      <c r="D28">
        <v>241</v>
      </c>
      <c r="E28">
        <v>399.6</v>
      </c>
      <c r="F28">
        <v>-15320</v>
      </c>
      <c r="G28">
        <v>158.6</v>
      </c>
    </row>
    <row r="29" spans="1:23">
      <c r="A29" t="s">
        <v>75</v>
      </c>
    </row>
    <row r="30" spans="1:23">
      <c r="A30">
        <v>96.6</v>
      </c>
      <c r="B30">
        <v>534.79999999999995</v>
      </c>
      <c r="C30">
        <v>23280</v>
      </c>
      <c r="D30">
        <v>241</v>
      </c>
      <c r="E30">
        <v>399.6</v>
      </c>
      <c r="F30">
        <v>-15320</v>
      </c>
      <c r="G30">
        <v>158.6</v>
      </c>
    </row>
    <row r="31" spans="1:23">
      <c r="A31">
        <v>100</v>
      </c>
      <c r="B31">
        <v>554.1</v>
      </c>
      <c r="C31">
        <v>25140</v>
      </c>
      <c r="D31">
        <v>251.4</v>
      </c>
      <c r="E31">
        <v>418.4</v>
      </c>
      <c r="F31">
        <v>-16710</v>
      </c>
      <c r="G31">
        <v>167.1</v>
      </c>
      <c r="I31">
        <v>100</v>
      </c>
      <c r="J31">
        <v>555.63962140209605</v>
      </c>
      <c r="K31">
        <v>25135.433340204701</v>
      </c>
      <c r="L31">
        <v>251.35433340204699</v>
      </c>
      <c r="M31">
        <v>417.51106399833998</v>
      </c>
      <c r="N31">
        <v>-16615.673059629298</v>
      </c>
      <c r="O31">
        <v>166.15673059629299</v>
      </c>
      <c r="Q31">
        <v>0</v>
      </c>
      <c r="R31">
        <v>-0.27785984517173701</v>
      </c>
      <c r="S31">
        <v>1.81649156535202E-2</v>
      </c>
      <c r="T31">
        <v>1.8164915653523801E-2</v>
      </c>
      <c r="U31">
        <v>0.21246080345579099</v>
      </c>
      <c r="V31">
        <v>0.56449395793301704</v>
      </c>
      <c r="W31">
        <v>0.56449395793301504</v>
      </c>
    </row>
    <row r="32" spans="1:23">
      <c r="A32">
        <v>110</v>
      </c>
      <c r="B32">
        <v>609.20000000000005</v>
      </c>
      <c r="C32">
        <v>30950</v>
      </c>
      <c r="D32">
        <v>281.39999999999998</v>
      </c>
      <c r="E32">
        <v>473.8</v>
      </c>
      <c r="F32">
        <v>-21170</v>
      </c>
      <c r="G32">
        <v>192.4</v>
      </c>
      <c r="I32">
        <v>110</v>
      </c>
      <c r="J32">
        <v>608.62426592997997</v>
      </c>
      <c r="K32">
        <v>30951.0266264407</v>
      </c>
      <c r="L32">
        <v>281.37296933127902</v>
      </c>
      <c r="M32">
        <v>472.89778063777499</v>
      </c>
      <c r="N32">
        <v>-21067.729243714399</v>
      </c>
      <c r="O32">
        <v>191.524811306495</v>
      </c>
      <c r="Q32">
        <v>0</v>
      </c>
      <c r="R32">
        <v>9.4506577481881293E-2</v>
      </c>
      <c r="S32">
        <v>-3.3170482739730001E-3</v>
      </c>
      <c r="T32">
        <v>9.6057813504067304E-3</v>
      </c>
      <c r="U32">
        <v>0.19042198442900499</v>
      </c>
      <c r="V32">
        <v>0.483092849718956</v>
      </c>
      <c r="W32">
        <v>0.45487977832878501</v>
      </c>
    </row>
    <row r="33" spans="1:23">
      <c r="A33">
        <v>120</v>
      </c>
      <c r="B33">
        <v>661.7</v>
      </c>
      <c r="C33">
        <v>37310</v>
      </c>
      <c r="D33">
        <v>310.89999999999998</v>
      </c>
      <c r="E33">
        <v>529.1</v>
      </c>
      <c r="F33">
        <v>-26180</v>
      </c>
      <c r="G33">
        <v>218.2</v>
      </c>
      <c r="I33">
        <v>120</v>
      </c>
      <c r="J33">
        <v>661.62426944971503</v>
      </c>
      <c r="K33">
        <v>37299.317271448497</v>
      </c>
      <c r="L33">
        <v>310.82764392873702</v>
      </c>
      <c r="M33">
        <v>528.10517225170395</v>
      </c>
      <c r="N33">
        <v>-26073.303398755899</v>
      </c>
      <c r="O33">
        <v>217.27752832296599</v>
      </c>
      <c r="Q33">
        <v>0</v>
      </c>
      <c r="R33">
        <v>1.14448466502283E-2</v>
      </c>
      <c r="S33">
        <v>2.86323466938453E-2</v>
      </c>
      <c r="T33">
        <v>2.32731010814657E-2</v>
      </c>
      <c r="U33">
        <v>0.18802263245056899</v>
      </c>
      <c r="V33">
        <v>0.40755004294896402</v>
      </c>
      <c r="W33">
        <v>0.422764288283068</v>
      </c>
    </row>
    <row r="34" spans="1:23">
      <c r="A34">
        <v>130</v>
      </c>
      <c r="B34">
        <v>712.2</v>
      </c>
      <c r="C34">
        <v>44180</v>
      </c>
      <c r="D34">
        <v>339.9</v>
      </c>
      <c r="E34">
        <v>584.1</v>
      </c>
      <c r="F34">
        <v>-31750</v>
      </c>
      <c r="G34">
        <v>244.2</v>
      </c>
      <c r="I34">
        <v>130</v>
      </c>
      <c r="J34">
        <v>712.42123339658394</v>
      </c>
      <c r="K34">
        <v>44169.544785680002</v>
      </c>
      <c r="L34">
        <v>339.76572912061499</v>
      </c>
      <c r="M34">
        <v>583.07366681454096</v>
      </c>
      <c r="N34">
        <v>-31630.031900210299</v>
      </c>
      <c r="O34">
        <v>243.30793769392599</v>
      </c>
      <c r="Q34">
        <v>0</v>
      </c>
      <c r="R34">
        <v>-3.1063380593141302E-2</v>
      </c>
      <c r="S34">
        <v>2.36650392032055E-2</v>
      </c>
      <c r="T34">
        <v>3.9503053658257299E-2</v>
      </c>
      <c r="U34">
        <v>0.17571189615791499</v>
      </c>
      <c r="V34">
        <v>0.377852282801933</v>
      </c>
      <c r="W34">
        <v>0.36529987963715699</v>
      </c>
    </row>
    <row r="35" spans="1:23">
      <c r="A35">
        <v>140</v>
      </c>
      <c r="B35">
        <v>761.3</v>
      </c>
      <c r="C35">
        <v>51550</v>
      </c>
      <c r="D35">
        <v>368.2</v>
      </c>
      <c r="E35">
        <v>638.70000000000005</v>
      </c>
      <c r="F35">
        <v>-37860</v>
      </c>
      <c r="G35">
        <v>270.5</v>
      </c>
      <c r="I35">
        <v>140</v>
      </c>
      <c r="J35">
        <v>760.32815080539797</v>
      </c>
      <c r="K35">
        <v>51539.402216522598</v>
      </c>
      <c r="L35">
        <v>368.138587260875</v>
      </c>
      <c r="M35">
        <v>637.67581196091498</v>
      </c>
      <c r="N35">
        <v>-37735.211458005397</v>
      </c>
      <c r="O35">
        <v>269.53722470003902</v>
      </c>
      <c r="Q35">
        <v>0</v>
      </c>
      <c r="R35">
        <v>0.127656534165459</v>
      </c>
      <c r="S35">
        <v>2.05582608678287E-2</v>
      </c>
      <c r="T35">
        <v>1.6679179555682499E-2</v>
      </c>
      <c r="U35">
        <v>0.16035510240879</v>
      </c>
      <c r="V35">
        <v>0.32960523506213202</v>
      </c>
      <c r="W35">
        <v>0.35592432530900803</v>
      </c>
    </row>
    <row r="36" spans="1:23">
      <c r="A36">
        <v>150</v>
      </c>
      <c r="B36">
        <v>809.7</v>
      </c>
      <c r="C36">
        <v>59400</v>
      </c>
      <c r="D36">
        <v>396</v>
      </c>
      <c r="E36">
        <v>692.8</v>
      </c>
      <c r="F36">
        <v>-44520</v>
      </c>
      <c r="G36">
        <v>296.8</v>
      </c>
      <c r="I36">
        <v>150</v>
      </c>
      <c r="J36">
        <v>808.81017097862696</v>
      </c>
      <c r="K36">
        <v>59383.571415126396</v>
      </c>
      <c r="L36">
        <v>395.89047610084299</v>
      </c>
      <c r="M36">
        <v>691.77813261239498</v>
      </c>
      <c r="N36">
        <v>-44383.148476732698</v>
      </c>
      <c r="O36">
        <v>295.88765651155097</v>
      </c>
      <c r="Q36">
        <v>0</v>
      </c>
      <c r="R36">
        <v>0.1098961370103</v>
      </c>
      <c r="S36">
        <v>2.7657550292151601E-2</v>
      </c>
      <c r="T36">
        <v>2.76575502921458E-2</v>
      </c>
      <c r="U36">
        <v>0.14749817950418101</v>
      </c>
      <c r="V36">
        <v>0.30739335864154099</v>
      </c>
      <c r="W36">
        <v>0.30739335864155298</v>
      </c>
    </row>
    <row r="37" spans="1:23">
      <c r="A37">
        <v>160</v>
      </c>
      <c r="B37">
        <v>857.9</v>
      </c>
      <c r="C37">
        <v>67740</v>
      </c>
      <c r="D37">
        <v>423.4</v>
      </c>
      <c r="E37">
        <v>746.6</v>
      </c>
      <c r="F37">
        <v>-51720</v>
      </c>
      <c r="G37">
        <v>323.2</v>
      </c>
      <c r="I37">
        <v>160</v>
      </c>
      <c r="J37">
        <v>858.26128711710396</v>
      </c>
      <c r="K37">
        <v>67723.420540540901</v>
      </c>
      <c r="L37">
        <v>423.27137837838097</v>
      </c>
      <c r="M37">
        <v>745.58610541268899</v>
      </c>
      <c r="N37">
        <v>-51570.3563254892</v>
      </c>
      <c r="O37">
        <v>322.314727034307</v>
      </c>
      <c r="Q37">
        <v>0</v>
      </c>
      <c r="R37">
        <v>-4.2112963877373101E-2</v>
      </c>
      <c r="S37">
        <v>2.44751394434773E-2</v>
      </c>
      <c r="T37">
        <v>3.0378276244396901E-2</v>
      </c>
      <c r="U37">
        <v>0.13580157879867599</v>
      </c>
      <c r="V37">
        <v>0.28933425079414998</v>
      </c>
      <c r="W37">
        <v>0.27390871463245098</v>
      </c>
    </row>
    <row r="38" spans="1:23">
      <c r="A38">
        <v>170</v>
      </c>
      <c r="B38">
        <v>905.7</v>
      </c>
      <c r="C38">
        <v>76560</v>
      </c>
      <c r="D38">
        <v>450.4</v>
      </c>
      <c r="E38">
        <v>800.1</v>
      </c>
      <c r="F38">
        <v>-59450</v>
      </c>
      <c r="G38">
        <v>349.7</v>
      </c>
      <c r="I38">
        <v>170</v>
      </c>
      <c r="J38">
        <v>906.44159675785204</v>
      </c>
      <c r="K38">
        <v>76542.597882118396</v>
      </c>
      <c r="L38">
        <v>450.250575777167</v>
      </c>
      <c r="M38">
        <v>799.03926113112095</v>
      </c>
      <c r="N38">
        <v>-59294.076510172199</v>
      </c>
      <c r="O38">
        <v>348.78868535395401</v>
      </c>
      <c r="Q38">
        <v>0</v>
      </c>
      <c r="R38">
        <v>-8.1881059716474205E-2</v>
      </c>
      <c r="S38">
        <v>2.27300390302889E-2</v>
      </c>
      <c r="T38">
        <v>3.3175893168930499E-2</v>
      </c>
      <c r="U38">
        <v>0.13257578663644001</v>
      </c>
      <c r="V38">
        <v>0.26227668600118798</v>
      </c>
      <c r="W38">
        <v>0.26059898371326801</v>
      </c>
    </row>
    <row r="39" spans="1:23">
      <c r="A39">
        <v>180</v>
      </c>
      <c r="B39">
        <v>953</v>
      </c>
      <c r="C39">
        <v>85860</v>
      </c>
      <c r="D39">
        <v>477</v>
      </c>
      <c r="E39">
        <v>853.2</v>
      </c>
      <c r="F39">
        <v>-67720</v>
      </c>
      <c r="G39">
        <v>376.2</v>
      </c>
      <c r="I39">
        <v>180</v>
      </c>
      <c r="J39">
        <v>953.59458561296799</v>
      </c>
      <c r="K39">
        <v>85842.778793972495</v>
      </c>
      <c r="L39">
        <v>476.90432663318001</v>
      </c>
      <c r="M39">
        <v>852.18804658383704</v>
      </c>
      <c r="N39">
        <v>-67551.069591118197</v>
      </c>
      <c r="O39">
        <v>375.28371995065601</v>
      </c>
      <c r="Q39">
        <v>0</v>
      </c>
      <c r="R39">
        <v>-6.23909352537836E-2</v>
      </c>
      <c r="S39">
        <v>2.00573096057425E-2</v>
      </c>
      <c r="T39">
        <v>2.0057309605737698E-2</v>
      </c>
      <c r="U39">
        <v>0.11860682327271201</v>
      </c>
      <c r="V39">
        <v>0.249454236387777</v>
      </c>
      <c r="W39">
        <v>0.24356194825713801</v>
      </c>
    </row>
    <row r="40" spans="1:23">
      <c r="A40">
        <v>190</v>
      </c>
      <c r="B40">
        <v>999.4</v>
      </c>
      <c r="C40">
        <v>95620</v>
      </c>
      <c r="D40">
        <v>503.3</v>
      </c>
      <c r="E40">
        <v>906</v>
      </c>
      <c r="F40">
        <v>-76520</v>
      </c>
      <c r="G40">
        <v>402.7</v>
      </c>
      <c r="I40">
        <v>190</v>
      </c>
      <c r="J40">
        <v>998.90817770034801</v>
      </c>
      <c r="K40">
        <v>95608.609919638198</v>
      </c>
      <c r="L40">
        <v>503.20321010335903</v>
      </c>
      <c r="M40">
        <v>904.97992720405205</v>
      </c>
      <c r="N40">
        <v>-76337.576249131802</v>
      </c>
      <c r="O40">
        <v>401.77671710069302</v>
      </c>
      <c r="Q40">
        <v>0</v>
      </c>
      <c r="R40">
        <v>4.9211757019374601E-2</v>
      </c>
      <c r="S40">
        <v>1.1911817989737601E-2</v>
      </c>
      <c r="T40">
        <v>1.92310543693591E-2</v>
      </c>
      <c r="U40">
        <v>0.11259081632970799</v>
      </c>
      <c r="V40">
        <v>0.23840009261391601</v>
      </c>
      <c r="W40">
        <v>0.22927313119098899</v>
      </c>
    </row>
    <row r="41" spans="1:23">
      <c r="A41">
        <v>200</v>
      </c>
      <c r="B41">
        <v>1045</v>
      </c>
      <c r="C41">
        <v>105800</v>
      </c>
      <c r="D41">
        <v>529.20000000000005</v>
      </c>
      <c r="E41">
        <v>958.4</v>
      </c>
      <c r="F41">
        <v>-85840</v>
      </c>
      <c r="G41">
        <v>429.2</v>
      </c>
      <c r="I41">
        <v>200</v>
      </c>
      <c r="J41">
        <v>1044.0277890825901</v>
      </c>
      <c r="K41">
        <v>105820.500960534</v>
      </c>
      <c r="L41">
        <v>529.10250480266996</v>
      </c>
      <c r="M41">
        <v>957.352509261661</v>
      </c>
      <c r="N41">
        <v>-85650.000891798205</v>
      </c>
      <c r="O41">
        <v>428.25000445899099</v>
      </c>
      <c r="Q41">
        <v>0</v>
      </c>
      <c r="R41">
        <v>9.3034537550711602E-2</v>
      </c>
      <c r="S41">
        <v>-1.9377089351663601E-2</v>
      </c>
      <c r="T41">
        <v>1.84231287471181E-2</v>
      </c>
      <c r="U41">
        <v>0.109295778207251</v>
      </c>
      <c r="V41">
        <v>0.22134099277928301</v>
      </c>
      <c r="W41">
        <v>0.22134099277927799</v>
      </c>
    </row>
    <row r="42" spans="1:23">
      <c r="A42">
        <v>210</v>
      </c>
      <c r="B42">
        <v>1088</v>
      </c>
      <c r="C42">
        <v>116500</v>
      </c>
      <c r="D42">
        <v>554.79999999999995</v>
      </c>
      <c r="E42">
        <v>1010</v>
      </c>
      <c r="F42">
        <v>-95680</v>
      </c>
      <c r="G42">
        <v>455.6</v>
      </c>
      <c r="I42">
        <v>210</v>
      </c>
      <c r="J42">
        <v>1088.00035267219</v>
      </c>
      <c r="K42">
        <v>116480.641669308</v>
      </c>
      <c r="L42">
        <v>554.66972223480002</v>
      </c>
      <c r="M42">
        <v>1009.35797429044</v>
      </c>
      <c r="N42">
        <v>-95484.532931685506</v>
      </c>
      <c r="O42">
        <v>454.68825205564502</v>
      </c>
      <c r="Q42">
        <v>0</v>
      </c>
      <c r="R42" s="32">
        <v>-3.2414723538000901E-5</v>
      </c>
      <c r="S42">
        <v>1.66165928686734E-2</v>
      </c>
      <c r="T42">
        <v>2.3481933165092801E-2</v>
      </c>
      <c r="U42">
        <v>6.3566901936094905E-2</v>
      </c>
      <c r="V42">
        <v>0.20429250450924999</v>
      </c>
      <c r="W42">
        <v>0.20012026873453501</v>
      </c>
    </row>
    <row r="43" spans="1:23">
      <c r="A43">
        <v>220</v>
      </c>
      <c r="B43">
        <v>1131</v>
      </c>
      <c r="C43">
        <v>127600</v>
      </c>
      <c r="D43">
        <v>580</v>
      </c>
      <c r="E43">
        <v>1062</v>
      </c>
      <c r="F43">
        <v>-106000</v>
      </c>
      <c r="G43">
        <v>482</v>
      </c>
      <c r="I43">
        <v>220</v>
      </c>
      <c r="J43">
        <v>1131.4287646533101</v>
      </c>
      <c r="K43">
        <v>127578.791404384</v>
      </c>
      <c r="L43">
        <v>579.90359729265799</v>
      </c>
      <c r="M43">
        <v>1060.9795826862901</v>
      </c>
      <c r="N43">
        <v>-105836.716786598</v>
      </c>
      <c r="O43">
        <v>481.07598539363102</v>
      </c>
      <c r="Q43">
        <v>0</v>
      </c>
      <c r="R43">
        <v>-3.7910225757239097E-2</v>
      </c>
      <c r="S43">
        <v>1.6621156438153602E-2</v>
      </c>
      <c r="T43">
        <v>1.6621156438159701E-2</v>
      </c>
      <c r="U43">
        <v>9.6084492816354602E-2</v>
      </c>
      <c r="V43">
        <v>0.15404076735947</v>
      </c>
      <c r="W43">
        <v>0.19170427518015701</v>
      </c>
    </row>
    <row r="44" spans="1:23">
      <c r="A44">
        <v>230</v>
      </c>
      <c r="B44">
        <v>1173</v>
      </c>
      <c r="C44">
        <v>139100</v>
      </c>
      <c r="D44">
        <v>604.9</v>
      </c>
      <c r="E44">
        <v>1113</v>
      </c>
      <c r="F44">
        <v>-116900</v>
      </c>
      <c r="G44">
        <v>508.4</v>
      </c>
      <c r="I44">
        <v>230</v>
      </c>
      <c r="J44">
        <v>1174.8656568364599</v>
      </c>
      <c r="K44">
        <v>139110.26351183301</v>
      </c>
      <c r="L44">
        <v>604.82723266014602</v>
      </c>
      <c r="M44">
        <v>1112.23443054936</v>
      </c>
      <c r="N44">
        <v>-116703.65551451901</v>
      </c>
      <c r="O44">
        <v>507.40719788921399</v>
      </c>
      <c r="Q44">
        <v>0</v>
      </c>
      <c r="R44">
        <v>-0.15905002868380899</v>
      </c>
      <c r="S44">
        <v>-7.3785131802969204E-3</v>
      </c>
      <c r="T44">
        <v>1.20296478513876E-2</v>
      </c>
      <c r="U44">
        <v>6.8784317218164207E-2</v>
      </c>
      <c r="V44">
        <v>0.16795935455994099</v>
      </c>
      <c r="W44">
        <v>0.19527972281374401</v>
      </c>
    </row>
    <row r="45" spans="1:23">
      <c r="A45">
        <v>240</v>
      </c>
      <c r="B45">
        <v>1215</v>
      </c>
      <c r="C45">
        <v>151100</v>
      </c>
      <c r="D45">
        <v>629.4</v>
      </c>
      <c r="E45">
        <v>1164</v>
      </c>
      <c r="F45">
        <v>-128300</v>
      </c>
      <c r="G45">
        <v>534.6</v>
      </c>
      <c r="I45">
        <v>240</v>
      </c>
      <c r="J45">
        <v>1214.8281885039601</v>
      </c>
      <c r="K45">
        <v>151061.81902791699</v>
      </c>
      <c r="L45">
        <v>629.42424594965496</v>
      </c>
      <c r="M45">
        <v>1163.09456054714</v>
      </c>
      <c r="N45">
        <v>-128080.87550339699</v>
      </c>
      <c r="O45">
        <v>533.67031459748898</v>
      </c>
      <c r="Q45">
        <v>0</v>
      </c>
      <c r="R45">
        <v>1.4140863871000799E-2</v>
      </c>
      <c r="S45">
        <v>2.52686777516699E-2</v>
      </c>
      <c r="T45">
        <v>-3.8522322299168101E-3</v>
      </c>
      <c r="U45">
        <v>7.7786894575233398E-2</v>
      </c>
      <c r="V45">
        <v>0.17079072221556399</v>
      </c>
      <c r="W45">
        <v>0.17390299336152201</v>
      </c>
    </row>
    <row r="46" spans="1:23">
      <c r="A46">
        <v>250</v>
      </c>
      <c r="B46">
        <v>1257</v>
      </c>
      <c r="C46">
        <v>163400</v>
      </c>
      <c r="D46">
        <v>653.70000000000005</v>
      </c>
      <c r="E46">
        <v>1215</v>
      </c>
      <c r="F46">
        <v>-140200</v>
      </c>
      <c r="G46">
        <v>560.79999999999995</v>
      </c>
      <c r="I46">
        <v>250</v>
      </c>
      <c r="J46">
        <v>1256.1287497580799</v>
      </c>
      <c r="K46">
        <v>163416.60371922699</v>
      </c>
      <c r="L46">
        <v>653.66641487690902</v>
      </c>
      <c r="M46">
        <v>1213.5260561361299</v>
      </c>
      <c r="N46">
        <v>-139964.910314807</v>
      </c>
      <c r="O46">
        <v>559.85964125922806</v>
      </c>
      <c r="Q46">
        <v>0</v>
      </c>
      <c r="R46">
        <v>6.9311872865538901E-2</v>
      </c>
      <c r="S46">
        <v>-1.0161394876041899E-2</v>
      </c>
      <c r="T46">
        <v>5.13769666364288E-3</v>
      </c>
      <c r="U46">
        <v>0.121312252169666</v>
      </c>
      <c r="V46">
        <v>0.16768165848275701</v>
      </c>
      <c r="W46">
        <v>0.167681658482741</v>
      </c>
    </row>
    <row r="47" spans="1:23">
      <c r="A47">
        <v>260</v>
      </c>
      <c r="B47">
        <v>1299</v>
      </c>
      <c r="C47">
        <v>176200</v>
      </c>
      <c r="D47">
        <v>677.7</v>
      </c>
      <c r="E47">
        <v>1265</v>
      </c>
      <c r="F47">
        <v>-152600</v>
      </c>
      <c r="G47">
        <v>586.9</v>
      </c>
      <c r="I47">
        <v>260</v>
      </c>
      <c r="J47">
        <v>1298.9910172898999</v>
      </c>
      <c r="K47">
        <v>176188.82772966399</v>
      </c>
      <c r="L47">
        <v>677.64933742178698</v>
      </c>
      <c r="M47">
        <v>1263.6146863292599</v>
      </c>
      <c r="N47">
        <v>-152350.99071594499</v>
      </c>
      <c r="O47">
        <v>585.96534890748205</v>
      </c>
      <c r="Q47">
        <v>0</v>
      </c>
      <c r="R47">
        <v>6.9150962989749797E-4</v>
      </c>
      <c r="S47">
        <v>6.3406755591862403E-3</v>
      </c>
      <c r="T47">
        <v>7.47566448468688E-3</v>
      </c>
      <c r="U47">
        <v>0.109510962113083</v>
      </c>
      <c r="V47">
        <v>0.16317777460986599</v>
      </c>
      <c r="W47">
        <v>0.15925218819525</v>
      </c>
    </row>
    <row r="48" spans="1:23">
      <c r="A48">
        <v>270</v>
      </c>
      <c r="B48">
        <v>1341</v>
      </c>
      <c r="C48">
        <v>189400</v>
      </c>
      <c r="D48">
        <v>701.5</v>
      </c>
      <c r="E48">
        <v>1314</v>
      </c>
      <c r="F48">
        <v>-165500</v>
      </c>
      <c r="G48">
        <v>612.9</v>
      </c>
      <c r="I48">
        <v>270</v>
      </c>
      <c r="J48">
        <v>1342.6312799892701</v>
      </c>
      <c r="K48">
        <v>189396.93921606001</v>
      </c>
      <c r="L48">
        <v>701.47014524466897</v>
      </c>
      <c r="M48">
        <v>1313.45882503763</v>
      </c>
      <c r="N48">
        <v>-165236.943544101</v>
      </c>
      <c r="O48">
        <v>611.98867979296801</v>
      </c>
      <c r="Q48">
        <v>0</v>
      </c>
      <c r="R48">
        <v>-0.121646531638894</v>
      </c>
      <c r="S48">
        <v>1.6160422066255301E-3</v>
      </c>
      <c r="T48">
        <v>4.2558453786053097E-3</v>
      </c>
      <c r="U48">
        <v>4.1185309160003597E-2</v>
      </c>
      <c r="V48">
        <v>0.15894649903234701</v>
      </c>
      <c r="W48">
        <v>0.14868986898868</v>
      </c>
    </row>
    <row r="49" spans="1:23">
      <c r="A49">
        <v>273.14999999999998</v>
      </c>
      <c r="B49">
        <v>1355</v>
      </c>
      <c r="C49">
        <v>193600</v>
      </c>
      <c r="D49">
        <v>708.9</v>
      </c>
      <c r="E49">
        <v>1330</v>
      </c>
      <c r="F49">
        <v>-169700</v>
      </c>
      <c r="G49">
        <v>621.1</v>
      </c>
      <c r="I49">
        <v>273.14999999999998</v>
      </c>
      <c r="J49">
        <v>1356.37796273957</v>
      </c>
      <c r="K49">
        <v>193647.87877335801</v>
      </c>
      <c r="L49">
        <v>708.94335996104098</v>
      </c>
      <c r="M49">
        <v>1329.11180108401</v>
      </c>
      <c r="N49">
        <v>-169399.009692739</v>
      </c>
      <c r="O49">
        <v>620.16844112297201</v>
      </c>
      <c r="Q49">
        <v>0</v>
      </c>
      <c r="R49">
        <v>-0.101694667127606</v>
      </c>
      <c r="S49">
        <v>-2.4730771362894199E-2</v>
      </c>
      <c r="T49">
        <v>-6.1165130542975097E-3</v>
      </c>
      <c r="U49">
        <v>6.6781873382413107E-2</v>
      </c>
      <c r="V49">
        <v>0.17736612095475299</v>
      </c>
      <c r="W49">
        <v>0.14998532877604401</v>
      </c>
    </row>
    <row r="50" spans="1:23">
      <c r="A50">
        <v>280</v>
      </c>
      <c r="B50">
        <v>1384</v>
      </c>
      <c r="C50">
        <v>203000</v>
      </c>
      <c r="D50">
        <v>725.1</v>
      </c>
      <c r="E50">
        <v>1364</v>
      </c>
      <c r="F50">
        <v>-178900</v>
      </c>
      <c r="G50">
        <v>638.9</v>
      </c>
      <c r="I50">
        <v>280</v>
      </c>
      <c r="J50">
        <v>1382.69734453504</v>
      </c>
      <c r="K50">
        <v>203036.122044702</v>
      </c>
      <c r="L50">
        <v>725.12900730250897</v>
      </c>
      <c r="M50">
        <v>1363.05704021525</v>
      </c>
      <c r="N50">
        <v>-178619.84921556999</v>
      </c>
      <c r="O50">
        <v>637.92803291275004</v>
      </c>
      <c r="Q50">
        <v>0</v>
      </c>
      <c r="R50">
        <v>9.4122504693167006E-2</v>
      </c>
      <c r="S50">
        <v>-1.77941106909426E-2</v>
      </c>
      <c r="T50">
        <v>-4.00045545570061E-3</v>
      </c>
      <c r="U50">
        <v>6.9131949027873604E-2</v>
      </c>
      <c r="V50">
        <v>0.15659630208490199</v>
      </c>
      <c r="W50">
        <v>0.15213133311153401</v>
      </c>
    </row>
    <row r="51" spans="1:23">
      <c r="A51">
        <v>290</v>
      </c>
      <c r="B51">
        <v>1425</v>
      </c>
      <c r="C51">
        <v>217100</v>
      </c>
      <c r="D51">
        <v>748.5</v>
      </c>
      <c r="E51">
        <v>1413</v>
      </c>
      <c r="F51">
        <v>-192800</v>
      </c>
      <c r="G51">
        <v>664.7</v>
      </c>
      <c r="I51">
        <v>290</v>
      </c>
      <c r="J51">
        <v>1425.4162309529599</v>
      </c>
      <c r="K51">
        <v>217076.68992214199</v>
      </c>
      <c r="L51">
        <v>748.54031007635399</v>
      </c>
      <c r="M51">
        <v>1412.32420613779</v>
      </c>
      <c r="N51">
        <v>-192497.329857818</v>
      </c>
      <c r="O51">
        <v>663.78389606144196</v>
      </c>
      <c r="Q51">
        <v>0</v>
      </c>
      <c r="R51">
        <v>-2.9209189682054101E-2</v>
      </c>
      <c r="S51">
        <v>1.07370234257546E-2</v>
      </c>
      <c r="T51">
        <v>-5.3854477426991702E-3</v>
      </c>
      <c r="U51">
        <v>4.7826883383127398E-2</v>
      </c>
      <c r="V51">
        <v>0.15698658826852299</v>
      </c>
      <c r="W51">
        <v>0.13782216617385601</v>
      </c>
    </row>
    <row r="52" spans="1:23">
      <c r="A52">
        <v>298.14999999999998</v>
      </c>
      <c r="B52">
        <v>1458</v>
      </c>
      <c r="C52">
        <v>228800</v>
      </c>
      <c r="D52">
        <v>767.5</v>
      </c>
      <c r="E52">
        <v>1453</v>
      </c>
      <c r="F52">
        <v>-204500</v>
      </c>
      <c r="G52">
        <v>685.7</v>
      </c>
      <c r="I52">
        <v>298.14999999999998</v>
      </c>
      <c r="J52">
        <v>1460.2321233835701</v>
      </c>
      <c r="K52">
        <v>228835.706966064</v>
      </c>
      <c r="L52">
        <v>767.51872200591595</v>
      </c>
      <c r="M52">
        <v>1452.3116551485</v>
      </c>
      <c r="N52">
        <v>-204171.01301646201</v>
      </c>
      <c r="O52">
        <v>684.79293314258803</v>
      </c>
      <c r="Q52">
        <v>0</v>
      </c>
      <c r="R52">
        <v>-0.15309488227544399</v>
      </c>
      <c r="S52">
        <v>-1.56061914615754E-2</v>
      </c>
      <c r="T52">
        <v>-2.4393493051278999E-3</v>
      </c>
      <c r="U52">
        <v>4.73740434614279E-2</v>
      </c>
      <c r="V52">
        <v>0.16087383058055599</v>
      </c>
      <c r="W52">
        <v>0.132283339275404</v>
      </c>
    </row>
    <row r="53" spans="1:23">
      <c r="A53">
        <v>300</v>
      </c>
      <c r="B53">
        <v>1466</v>
      </c>
      <c r="C53">
        <v>231500</v>
      </c>
      <c r="D53">
        <v>771.8</v>
      </c>
      <c r="E53">
        <v>1462</v>
      </c>
      <c r="F53">
        <v>-207100</v>
      </c>
      <c r="G53">
        <v>690.5</v>
      </c>
      <c r="I53">
        <v>300</v>
      </c>
      <c r="J53">
        <v>1468.1351173708899</v>
      </c>
      <c r="K53">
        <v>231544.44666376201</v>
      </c>
      <c r="L53">
        <v>771.81482221253998</v>
      </c>
      <c r="M53">
        <v>1461.36872444348</v>
      </c>
      <c r="N53">
        <v>-206866.17066928401</v>
      </c>
      <c r="O53">
        <v>689.55390223094798</v>
      </c>
      <c r="Q53">
        <v>0</v>
      </c>
      <c r="R53">
        <v>-0.145642385463299</v>
      </c>
      <c r="S53">
        <v>-1.9199422791363299E-2</v>
      </c>
      <c r="T53">
        <v>-1.9204732495497799E-3</v>
      </c>
      <c r="U53">
        <v>4.3178902634155497E-2</v>
      </c>
      <c r="V53">
        <v>0.112906485135411</v>
      </c>
      <c r="W53">
        <v>0.137016331506364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92C49-9DB4-41E9-8405-5C1A48A7B1C3}">
  <dimension ref="A1:W53"/>
  <sheetViews>
    <sheetView workbookViewId="0"/>
  </sheetViews>
  <sheetFormatPr defaultRowHeight="14.25"/>
  <sheetData>
    <row r="1" spans="1:23" ht="15">
      <c r="A1" s="31" t="s">
        <v>55</v>
      </c>
    </row>
    <row r="2" spans="1:23">
      <c r="A2" t="s">
        <v>57</v>
      </c>
      <c r="I2" t="s">
        <v>58</v>
      </c>
    </row>
    <row r="3" spans="1:23">
      <c r="A3" t="s">
        <v>14</v>
      </c>
      <c r="B3" t="s">
        <v>15</v>
      </c>
      <c r="C3" t="s">
        <v>59</v>
      </c>
      <c r="D3" t="s">
        <v>60</v>
      </c>
      <c r="E3" t="s">
        <v>18</v>
      </c>
      <c r="F3" t="s">
        <v>61</v>
      </c>
      <c r="G3" t="s">
        <v>62</v>
      </c>
      <c r="I3" t="s">
        <v>14</v>
      </c>
      <c r="J3" t="s">
        <v>15</v>
      </c>
      <c r="K3" t="s">
        <v>59</v>
      </c>
      <c r="L3" t="s">
        <v>60</v>
      </c>
      <c r="M3" t="s">
        <v>18</v>
      </c>
      <c r="N3" t="s">
        <v>61</v>
      </c>
      <c r="O3" t="s">
        <v>62</v>
      </c>
      <c r="Q3" t="s">
        <v>63</v>
      </c>
      <c r="R3" t="s">
        <v>64</v>
      </c>
      <c r="S3" t="s">
        <v>65</v>
      </c>
      <c r="T3" t="s">
        <v>66</v>
      </c>
      <c r="U3" t="s">
        <v>67</v>
      </c>
      <c r="V3" t="s">
        <v>68</v>
      </c>
      <c r="W3" t="s">
        <v>69</v>
      </c>
    </row>
    <row r="4" spans="1:23">
      <c r="A4" t="s">
        <v>70</v>
      </c>
      <c r="B4" t="s">
        <v>71</v>
      </c>
      <c r="C4" t="s">
        <v>72</v>
      </c>
      <c r="D4" t="s">
        <v>71</v>
      </c>
      <c r="E4" t="s">
        <v>71</v>
      </c>
      <c r="F4" t="s">
        <v>72</v>
      </c>
      <c r="G4" t="s">
        <v>71</v>
      </c>
      <c r="I4" t="s">
        <v>70</v>
      </c>
      <c r="J4" t="s">
        <v>71</v>
      </c>
      <c r="K4" t="s">
        <v>72</v>
      </c>
      <c r="L4" t="s">
        <v>71</v>
      </c>
      <c r="M4" t="s">
        <v>71</v>
      </c>
      <c r="N4" t="s">
        <v>72</v>
      </c>
      <c r="O4" t="s">
        <v>71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</row>
    <row r="5" spans="1:23">
      <c r="A5">
        <v>0</v>
      </c>
      <c r="B5">
        <v>0</v>
      </c>
      <c r="C5">
        <v>0</v>
      </c>
      <c r="D5" t="s">
        <v>73</v>
      </c>
      <c r="E5">
        <v>0</v>
      </c>
      <c r="F5">
        <v>0</v>
      </c>
      <c r="G5" t="s">
        <v>73</v>
      </c>
      <c r="I5">
        <v>0</v>
      </c>
      <c r="J5">
        <v>0</v>
      </c>
      <c r="K5">
        <v>0</v>
      </c>
      <c r="L5" t="s">
        <v>73</v>
      </c>
      <c r="M5">
        <v>0</v>
      </c>
      <c r="N5">
        <v>0</v>
      </c>
      <c r="O5" t="s">
        <v>73</v>
      </c>
    </row>
    <row r="6" spans="1:23">
      <c r="A6">
        <v>5</v>
      </c>
      <c r="B6">
        <v>0.94057400000000002</v>
      </c>
      <c r="C6">
        <v>1.69655</v>
      </c>
      <c r="D6">
        <v>0.33931</v>
      </c>
      <c r="E6">
        <v>1.15907</v>
      </c>
      <c r="F6">
        <v>-4.0987999999999998</v>
      </c>
      <c r="G6">
        <v>0.81976099999999996</v>
      </c>
      <c r="I6">
        <v>5</v>
      </c>
      <c r="J6">
        <v>0.96914621342115503</v>
      </c>
      <c r="K6">
        <v>1.2756844968518499</v>
      </c>
      <c r="L6">
        <v>0.25513689937036999</v>
      </c>
      <c r="M6">
        <v>0.37391876036941601</v>
      </c>
      <c r="N6">
        <v>-0.59390930499523198</v>
      </c>
      <c r="O6">
        <v>0.118781860999046</v>
      </c>
      <c r="Q6">
        <v>0</v>
      </c>
      <c r="R6">
        <v>-3.03774221073038</v>
      </c>
      <c r="S6">
        <v>24.8071382009459</v>
      </c>
      <c r="T6">
        <v>24.8071382009459</v>
      </c>
      <c r="U6">
        <v>67.739760293216307</v>
      </c>
      <c r="V6">
        <v>85.510166268292295</v>
      </c>
      <c r="W6">
        <v>85.510183943973104</v>
      </c>
    </row>
    <row r="7" spans="1:23">
      <c r="A7">
        <v>10</v>
      </c>
      <c r="B7">
        <v>13.2613</v>
      </c>
      <c r="C7">
        <v>31.0503</v>
      </c>
      <c r="D7">
        <v>3.1050300000000002</v>
      </c>
      <c r="E7">
        <v>4.7475699999999996</v>
      </c>
      <c r="F7">
        <v>-16.4254</v>
      </c>
      <c r="G7">
        <v>1.6425399999999999</v>
      </c>
      <c r="I7">
        <v>10</v>
      </c>
      <c r="J7">
        <v>13.3901608019357</v>
      </c>
      <c r="K7">
        <v>30.630664983606302</v>
      </c>
      <c r="L7">
        <v>3.0630664983606302</v>
      </c>
      <c r="M7">
        <v>3.9476072408146399</v>
      </c>
      <c r="N7">
        <v>-8.8454074245400793</v>
      </c>
      <c r="O7">
        <v>0.88454074245400804</v>
      </c>
      <c r="Q7">
        <v>0</v>
      </c>
      <c r="R7">
        <v>-0.97170565431523803</v>
      </c>
      <c r="S7">
        <v>1.35146847661252</v>
      </c>
      <c r="T7">
        <v>1.35146847661252</v>
      </c>
      <c r="U7">
        <v>16.849941321251698</v>
      </c>
      <c r="V7">
        <v>46.147993811169897</v>
      </c>
      <c r="W7">
        <v>46.147993811169897</v>
      </c>
    </row>
    <row r="8" spans="1:23">
      <c r="A8">
        <v>12.25</v>
      </c>
      <c r="B8">
        <v>22.363800000000001</v>
      </c>
      <c r="C8">
        <v>70.945899999999995</v>
      </c>
      <c r="D8">
        <v>5.7915000000000001</v>
      </c>
      <c r="E8">
        <v>8.3147099999999998</v>
      </c>
      <c r="F8">
        <v>-30.909199999999998</v>
      </c>
      <c r="G8">
        <v>2.5232000000000001</v>
      </c>
    </row>
    <row r="9" spans="1:23">
      <c r="A9" t="s">
        <v>74</v>
      </c>
    </row>
    <row r="10" spans="1:23">
      <c r="A10">
        <v>12.25</v>
      </c>
      <c r="B10">
        <v>22.348800000000001</v>
      </c>
      <c r="C10">
        <v>70.945899999999995</v>
      </c>
      <c r="D10">
        <v>5.7915000000000001</v>
      </c>
      <c r="E10">
        <v>8.3147099999999998</v>
      </c>
      <c r="F10">
        <v>-30.909199999999998</v>
      </c>
      <c r="G10">
        <v>2.5232000000000001</v>
      </c>
    </row>
    <row r="11" spans="1:23">
      <c r="A11">
        <v>15</v>
      </c>
      <c r="B11">
        <v>33.841900000000003</v>
      </c>
      <c r="C11">
        <v>148.06200000000001</v>
      </c>
      <c r="D11">
        <v>9.8707899999999995</v>
      </c>
      <c r="E11">
        <v>13.954700000000001</v>
      </c>
      <c r="F11">
        <v>-61.258699999999997</v>
      </c>
      <c r="G11">
        <v>4.0839100000000004</v>
      </c>
      <c r="I11">
        <v>15</v>
      </c>
      <c r="J11">
        <v>33.869973471502497</v>
      </c>
      <c r="K11">
        <v>147.90260824877399</v>
      </c>
      <c r="L11">
        <v>9.8601738832516492</v>
      </c>
      <c r="M11">
        <v>13.1633131752524</v>
      </c>
      <c r="N11">
        <v>-49.547089380011201</v>
      </c>
      <c r="O11">
        <v>3.3031392920007501</v>
      </c>
      <c r="Q11">
        <v>0</v>
      </c>
      <c r="R11">
        <v>-8.2954773528044201E-2</v>
      </c>
      <c r="S11">
        <v>0.10765203173350101</v>
      </c>
      <c r="T11">
        <v>0.107550831780926</v>
      </c>
      <c r="U11">
        <v>5.6711131357005096</v>
      </c>
      <c r="V11">
        <v>19.118281354303502</v>
      </c>
      <c r="W11">
        <v>19.118215337733901</v>
      </c>
    </row>
    <row r="12" spans="1:23">
      <c r="A12">
        <v>20</v>
      </c>
      <c r="B12">
        <v>56.926400000000001</v>
      </c>
      <c r="C12">
        <v>373.62</v>
      </c>
      <c r="D12">
        <v>18.681000000000001</v>
      </c>
      <c r="E12">
        <v>26.773900000000001</v>
      </c>
      <c r="F12">
        <v>-161.857</v>
      </c>
      <c r="G12">
        <v>8.0928400000000007</v>
      </c>
      <c r="I12">
        <v>20</v>
      </c>
      <c r="J12">
        <v>56.888753131896102</v>
      </c>
      <c r="K12">
        <v>373.75656137669301</v>
      </c>
      <c r="L12">
        <v>18.687828068834602</v>
      </c>
      <c r="M12">
        <v>25.9895422436717</v>
      </c>
      <c r="N12">
        <v>-146.03428349674201</v>
      </c>
      <c r="O12">
        <v>7.3017141748370999</v>
      </c>
      <c r="Q12">
        <v>0</v>
      </c>
      <c r="R12">
        <v>6.6132529202428902E-2</v>
      </c>
      <c r="S12">
        <v>-3.6550874335782503E-2</v>
      </c>
      <c r="T12">
        <v>-3.6550874335786299E-2</v>
      </c>
      <c r="U12">
        <v>2.9295610887029002</v>
      </c>
      <c r="V12">
        <v>9.7757381535910408</v>
      </c>
      <c r="W12">
        <v>9.7756266670648806</v>
      </c>
    </row>
    <row r="13" spans="1:23">
      <c r="A13">
        <v>25</v>
      </c>
      <c r="B13">
        <v>83.454099999999997</v>
      </c>
      <c r="C13">
        <v>723.12900000000002</v>
      </c>
      <c r="D13">
        <v>28.9252</v>
      </c>
      <c r="E13">
        <v>42.262099999999997</v>
      </c>
      <c r="F13">
        <v>-333.423</v>
      </c>
      <c r="G13">
        <v>13.3369</v>
      </c>
      <c r="I13">
        <v>25</v>
      </c>
      <c r="J13">
        <v>82.988538987451307</v>
      </c>
      <c r="K13">
        <v>723.62647451280895</v>
      </c>
      <c r="L13">
        <v>28.9450589805123</v>
      </c>
      <c r="M13">
        <v>41.480032960136199</v>
      </c>
      <c r="N13">
        <v>-313.37434949059599</v>
      </c>
      <c r="O13">
        <v>12.5349739796238</v>
      </c>
      <c r="Q13">
        <v>0</v>
      </c>
      <c r="R13">
        <v>0.557864757451911</v>
      </c>
      <c r="S13">
        <v>-6.8794711982179804E-2</v>
      </c>
      <c r="T13">
        <v>-6.8656329126108695E-2</v>
      </c>
      <c r="U13">
        <v>1.8505162778558999</v>
      </c>
      <c r="V13">
        <v>6.0129776618299102</v>
      </c>
      <c r="W13">
        <v>6.0128367189986101</v>
      </c>
    </row>
    <row r="14" spans="1:23">
      <c r="A14">
        <v>30</v>
      </c>
      <c r="B14">
        <v>113.166</v>
      </c>
      <c r="C14">
        <v>1213.5</v>
      </c>
      <c r="D14">
        <v>40.4499</v>
      </c>
      <c r="E14">
        <v>60.0608</v>
      </c>
      <c r="F14">
        <v>-588.32600000000002</v>
      </c>
      <c r="G14">
        <v>19.610900000000001</v>
      </c>
      <c r="I14">
        <v>30</v>
      </c>
      <c r="J14">
        <v>113.04184797101399</v>
      </c>
      <c r="K14">
        <v>1211.7508137862701</v>
      </c>
      <c r="L14">
        <v>40.391693792875699</v>
      </c>
      <c r="M14">
        <v>59.179193337264302</v>
      </c>
      <c r="N14">
        <v>-563.62498633165796</v>
      </c>
      <c r="O14">
        <v>18.787499544388599</v>
      </c>
      <c r="Q14">
        <v>0</v>
      </c>
      <c r="R14">
        <v>0.10970788839890599</v>
      </c>
      <c r="S14">
        <v>0.14414389894756999</v>
      </c>
      <c r="T14">
        <v>0.14389703589945299</v>
      </c>
      <c r="U14">
        <v>1.46785700945655</v>
      </c>
      <c r="V14">
        <v>4.1985249110768201</v>
      </c>
      <c r="W14">
        <v>4.1986877481981697</v>
      </c>
    </row>
    <row r="15" spans="1:23">
      <c r="A15">
        <v>35</v>
      </c>
      <c r="B15">
        <v>145.26599999999999</v>
      </c>
      <c r="C15">
        <v>1858.78</v>
      </c>
      <c r="D15">
        <v>53.107900000000001</v>
      </c>
      <c r="E15">
        <v>79.891300000000001</v>
      </c>
      <c r="F15">
        <v>-937.41800000000001</v>
      </c>
      <c r="G15">
        <v>26.7834</v>
      </c>
      <c r="I15">
        <v>35</v>
      </c>
      <c r="J15">
        <v>145.52589129061201</v>
      </c>
      <c r="K15">
        <v>1858.1298028368001</v>
      </c>
      <c r="L15">
        <v>53.089422938194502</v>
      </c>
      <c r="M15">
        <v>79.030224552160007</v>
      </c>
      <c r="N15">
        <v>-907.928056488793</v>
      </c>
      <c r="O15">
        <v>25.940801613965501</v>
      </c>
      <c r="Q15">
        <v>0</v>
      </c>
      <c r="R15">
        <v>-0.17890717071593901</v>
      </c>
      <c r="S15">
        <v>3.4979780457618098E-2</v>
      </c>
      <c r="T15">
        <v>3.4791550419870497E-2</v>
      </c>
      <c r="U15">
        <v>1.07780878248308</v>
      </c>
      <c r="V15">
        <v>3.1458691332155602</v>
      </c>
      <c r="W15">
        <v>3.1459724532153399</v>
      </c>
    </row>
    <row r="16" spans="1:23">
      <c r="A16">
        <v>40</v>
      </c>
      <c r="B16">
        <v>178.833</v>
      </c>
      <c r="C16">
        <v>2668.6</v>
      </c>
      <c r="D16">
        <v>66.7149</v>
      </c>
      <c r="E16">
        <v>101.46899999999999</v>
      </c>
      <c r="F16">
        <v>-1390.15</v>
      </c>
      <c r="G16">
        <v>34.753799999999998</v>
      </c>
      <c r="I16">
        <v>40</v>
      </c>
      <c r="J16">
        <v>179.02586562386901</v>
      </c>
      <c r="K16">
        <v>2668.8815447443899</v>
      </c>
      <c r="L16">
        <v>66.722038618609901</v>
      </c>
      <c r="M16">
        <v>100.621018763216</v>
      </c>
      <c r="N16">
        <v>-1355.9592057842401</v>
      </c>
      <c r="O16">
        <v>33.898980144606099</v>
      </c>
      <c r="Q16">
        <v>0</v>
      </c>
      <c r="R16">
        <v>-0.107846775410184</v>
      </c>
      <c r="S16">
        <v>-1.05502789627001E-2</v>
      </c>
      <c r="T16">
        <v>-1.07001863301261E-2</v>
      </c>
      <c r="U16">
        <v>0.835704734237953</v>
      </c>
      <c r="V16">
        <v>2.4595039539441998</v>
      </c>
      <c r="W16">
        <v>2.4596442846361599</v>
      </c>
    </row>
    <row r="17" spans="1:23">
      <c r="A17">
        <v>45</v>
      </c>
      <c r="B17">
        <v>213.05699999999999</v>
      </c>
      <c r="C17">
        <v>3648.19</v>
      </c>
      <c r="D17">
        <v>81.070899999999995</v>
      </c>
      <c r="E17">
        <v>124.505</v>
      </c>
      <c r="F17">
        <v>-1954.54</v>
      </c>
      <c r="G17">
        <v>43.434100000000001</v>
      </c>
      <c r="I17">
        <v>45</v>
      </c>
      <c r="J17">
        <v>212.75886056202</v>
      </c>
      <c r="K17">
        <v>3648.5658399379899</v>
      </c>
      <c r="L17">
        <v>81.079240887511006</v>
      </c>
      <c r="M17">
        <v>123.65388201636399</v>
      </c>
      <c r="N17">
        <v>-1915.8588507984</v>
      </c>
      <c r="O17">
        <v>42.5746411288535</v>
      </c>
      <c r="Q17">
        <v>0</v>
      </c>
      <c r="R17">
        <v>0.13993411996768801</v>
      </c>
      <c r="S17">
        <v>-1.03020933119733E-2</v>
      </c>
      <c r="T17">
        <v>-1.0288386475396099E-2</v>
      </c>
      <c r="U17">
        <v>0.683601448644934</v>
      </c>
      <c r="V17">
        <v>1.9790410634517701</v>
      </c>
      <c r="W17">
        <v>1.9787652354865299</v>
      </c>
    </row>
    <row r="18" spans="1:23">
      <c r="A18">
        <v>50</v>
      </c>
      <c r="B18">
        <v>247.33099999999999</v>
      </c>
      <c r="C18">
        <v>4799.24</v>
      </c>
      <c r="D18">
        <v>95.984800000000007</v>
      </c>
      <c r="E18">
        <v>148.72800000000001</v>
      </c>
      <c r="F18">
        <v>-2637.18</v>
      </c>
      <c r="G18">
        <v>52.743499999999997</v>
      </c>
      <c r="I18">
        <v>50</v>
      </c>
      <c r="J18">
        <v>247.089970713339</v>
      </c>
      <c r="K18">
        <v>4797.7288182014199</v>
      </c>
      <c r="L18">
        <v>95.954576364028497</v>
      </c>
      <c r="M18">
        <v>147.830807745333</v>
      </c>
      <c r="N18">
        <v>-2593.8115690652198</v>
      </c>
      <c r="O18">
        <v>51.8762313813044</v>
      </c>
      <c r="Q18">
        <v>0</v>
      </c>
      <c r="R18">
        <v>9.7452113427185197E-2</v>
      </c>
      <c r="S18">
        <v>3.1487939727347598E-2</v>
      </c>
      <c r="T18">
        <v>3.1487939727357098E-2</v>
      </c>
      <c r="U18">
        <v>0.60324367615173102</v>
      </c>
      <c r="V18">
        <v>1.6445002212505699</v>
      </c>
      <c r="W18">
        <v>1.64431374234838</v>
      </c>
    </row>
    <row r="19" spans="1:23">
      <c r="A19">
        <v>55</v>
      </c>
      <c r="B19">
        <v>281.262</v>
      </c>
      <c r="C19">
        <v>6120.92</v>
      </c>
      <c r="D19">
        <v>111.29</v>
      </c>
      <c r="E19">
        <v>173.89699999999999</v>
      </c>
      <c r="F19">
        <v>-3443.39</v>
      </c>
      <c r="G19">
        <v>62.607100000000003</v>
      </c>
      <c r="I19">
        <v>55</v>
      </c>
      <c r="J19">
        <v>280.354265399013</v>
      </c>
      <c r="K19">
        <v>6116.7903666012098</v>
      </c>
      <c r="L19">
        <v>111.21437030184001</v>
      </c>
      <c r="M19">
        <v>172.943108677927</v>
      </c>
      <c r="N19">
        <v>-3395.0806106848199</v>
      </c>
      <c r="O19">
        <v>61.728738376087598</v>
      </c>
      <c r="Q19">
        <v>0</v>
      </c>
      <c r="R19">
        <v>0.32273631026832</v>
      </c>
      <c r="S19">
        <v>6.7467527737471195E-2</v>
      </c>
      <c r="T19">
        <v>6.7957317063349107E-2</v>
      </c>
      <c r="U19">
        <v>0.54853811283235498</v>
      </c>
      <c r="V19">
        <v>1.4029601443686801</v>
      </c>
      <c r="W19">
        <v>1.40297446122294</v>
      </c>
    </row>
    <row r="20" spans="1:23">
      <c r="A20">
        <v>60</v>
      </c>
      <c r="B20">
        <v>314.62099999999998</v>
      </c>
      <c r="C20">
        <v>7610.9</v>
      </c>
      <c r="D20">
        <v>126.848</v>
      </c>
      <c r="E20">
        <v>199.80500000000001</v>
      </c>
      <c r="F20">
        <v>-4377.37</v>
      </c>
      <c r="G20">
        <v>72.956199999999995</v>
      </c>
      <c r="I20">
        <v>60</v>
      </c>
      <c r="J20">
        <v>315.255224368754</v>
      </c>
      <c r="K20">
        <v>7605.6438913583497</v>
      </c>
      <c r="L20">
        <v>126.76073152263901</v>
      </c>
      <c r="M20">
        <v>198.822716832374</v>
      </c>
      <c r="N20">
        <v>-4323.7191185841402</v>
      </c>
      <c r="O20">
        <v>72.061985309735704</v>
      </c>
      <c r="Q20">
        <v>0</v>
      </c>
      <c r="R20">
        <v>-0.201583609725448</v>
      </c>
      <c r="S20">
        <v>6.9060277255609495E-2</v>
      </c>
      <c r="T20">
        <v>6.8797677031403201E-2</v>
      </c>
      <c r="U20">
        <v>0.491620914203869</v>
      </c>
      <c r="V20">
        <v>1.22564191320028</v>
      </c>
      <c r="W20">
        <v>1.2256870427246001</v>
      </c>
    </row>
    <row r="21" spans="1:23">
      <c r="A21">
        <v>65</v>
      </c>
      <c r="B21">
        <v>347.27800000000002</v>
      </c>
      <c r="C21">
        <v>9265.9599999999991</v>
      </c>
      <c r="D21">
        <v>142.553</v>
      </c>
      <c r="E21">
        <v>226.28200000000001</v>
      </c>
      <c r="F21">
        <v>-5442.38</v>
      </c>
      <c r="G21">
        <v>83.728999999999999</v>
      </c>
      <c r="I21">
        <v>65</v>
      </c>
      <c r="J21">
        <v>347.50904350104798</v>
      </c>
      <c r="K21">
        <v>9264.9233468122893</v>
      </c>
      <c r="L21">
        <v>142.53728225865001</v>
      </c>
      <c r="M21">
        <v>225.365689106736</v>
      </c>
      <c r="N21">
        <v>-5383.8464451255804</v>
      </c>
      <c r="O21">
        <v>82.828406848085905</v>
      </c>
      <c r="Q21">
        <v>0</v>
      </c>
      <c r="R21">
        <v>-6.6529840948229099E-2</v>
      </c>
      <c r="S21">
        <v>1.1187758070427E-2</v>
      </c>
      <c r="T21">
        <v>1.1025893070842001E-2</v>
      </c>
      <c r="U21">
        <v>0.40494201627320298</v>
      </c>
      <c r="V21">
        <v>1.0755139272599901</v>
      </c>
      <c r="W21">
        <v>1.07560481065585</v>
      </c>
    </row>
    <row r="22" spans="1:23">
      <c r="A22">
        <v>70</v>
      </c>
      <c r="B22">
        <v>379.15300000000002</v>
      </c>
      <c r="C22">
        <v>11082.4</v>
      </c>
      <c r="D22">
        <v>158.32</v>
      </c>
      <c r="E22">
        <v>253.19</v>
      </c>
      <c r="F22">
        <v>-6640.91</v>
      </c>
      <c r="G22">
        <v>94.870199999999997</v>
      </c>
      <c r="I22">
        <v>70</v>
      </c>
      <c r="J22">
        <v>378.867390165117</v>
      </c>
      <c r="K22">
        <v>11080.926122147501</v>
      </c>
      <c r="L22">
        <v>158.29894460210701</v>
      </c>
      <c r="M22">
        <v>252.26563309598399</v>
      </c>
      <c r="N22">
        <v>-6577.6681945714199</v>
      </c>
      <c r="O22">
        <v>93.966688493877399</v>
      </c>
      <c r="Q22">
        <v>0</v>
      </c>
      <c r="R22">
        <v>7.5328385871302805E-2</v>
      </c>
      <c r="S22">
        <v>1.3299265975770899E-2</v>
      </c>
      <c r="T22">
        <v>1.3299265975768901E-2</v>
      </c>
      <c r="U22">
        <v>0.36508823571839899</v>
      </c>
      <c r="V22">
        <v>0.95230631688396605</v>
      </c>
      <c r="W22">
        <v>0.95236597595720796</v>
      </c>
    </row>
    <row r="23" spans="1:23">
      <c r="A23">
        <v>75</v>
      </c>
      <c r="B23">
        <v>410.17700000000002</v>
      </c>
      <c r="C23">
        <v>13056.1</v>
      </c>
      <c r="D23">
        <v>174.08099999999999</v>
      </c>
      <c r="E23">
        <v>280.41199999999998</v>
      </c>
      <c r="F23">
        <v>-7974.81</v>
      </c>
      <c r="G23">
        <v>106.331</v>
      </c>
      <c r="I23">
        <v>75</v>
      </c>
      <c r="J23">
        <v>410.40635223087901</v>
      </c>
      <c r="K23">
        <v>13055.048323290899</v>
      </c>
      <c r="L23">
        <v>174.067310977212</v>
      </c>
      <c r="M23">
        <v>279.49235427130498</v>
      </c>
      <c r="N23">
        <v>-7906.8782470569604</v>
      </c>
      <c r="O23">
        <v>105.42504329409201</v>
      </c>
      <c r="Q23">
        <v>0</v>
      </c>
      <c r="R23">
        <v>-5.5915429407279497E-2</v>
      </c>
      <c r="S23">
        <v>8.0550601562441506E-3</v>
      </c>
      <c r="T23">
        <v>7.8635938370333301E-3</v>
      </c>
      <c r="U23">
        <v>0.32796232996255598</v>
      </c>
      <c r="V23">
        <v>0.85182910869397699</v>
      </c>
      <c r="W23">
        <v>0.85201559837410701</v>
      </c>
    </row>
    <row r="24" spans="1:23">
      <c r="A24">
        <v>80</v>
      </c>
      <c r="B24">
        <v>440.3</v>
      </c>
      <c r="C24">
        <v>15182.6</v>
      </c>
      <c r="D24">
        <v>189.78299999999999</v>
      </c>
      <c r="E24">
        <v>307.85000000000002</v>
      </c>
      <c r="F24">
        <v>-9445.39</v>
      </c>
      <c r="G24">
        <v>118.06699999999999</v>
      </c>
      <c r="I24">
        <v>80</v>
      </c>
      <c r="J24">
        <v>440.51327726381498</v>
      </c>
      <c r="K24">
        <v>15183.1024347108</v>
      </c>
      <c r="L24">
        <v>189.78878043388499</v>
      </c>
      <c r="M24">
        <v>306.949434654909</v>
      </c>
      <c r="N24">
        <v>-9372.8523376818703</v>
      </c>
      <c r="O24">
        <v>117.16065422102299</v>
      </c>
      <c r="Q24">
        <v>0</v>
      </c>
      <c r="R24">
        <v>-4.8439078767931E-2</v>
      </c>
      <c r="S24">
        <v>-3.3092797733839099E-3</v>
      </c>
      <c r="T24">
        <v>-3.0458122623973202E-3</v>
      </c>
      <c r="U24">
        <v>0.29253381357501401</v>
      </c>
      <c r="V24">
        <v>0.76796894906538804</v>
      </c>
      <c r="W24">
        <v>0.76765377199097595</v>
      </c>
    </row>
    <row r="25" spans="1:23">
      <c r="A25">
        <v>85</v>
      </c>
      <c r="B25">
        <v>469.524</v>
      </c>
      <c r="C25">
        <v>17457.599999999999</v>
      </c>
      <c r="D25">
        <v>205.38300000000001</v>
      </c>
      <c r="E25">
        <v>335.42500000000001</v>
      </c>
      <c r="F25">
        <v>-11053.5</v>
      </c>
      <c r="G25">
        <v>130.042</v>
      </c>
      <c r="I25">
        <v>85</v>
      </c>
      <c r="J25">
        <v>468.69351108851902</v>
      </c>
      <c r="K25">
        <v>17456.1194055917</v>
      </c>
      <c r="L25">
        <v>205.36611065401999</v>
      </c>
      <c r="M25">
        <v>334.50057783671298</v>
      </c>
      <c r="N25">
        <v>-10976.429710528801</v>
      </c>
      <c r="O25">
        <v>129.13446718269199</v>
      </c>
      <c r="Q25">
        <v>0</v>
      </c>
      <c r="R25">
        <v>0.17687890533404901</v>
      </c>
      <c r="S25">
        <v>8.4810879404230103E-3</v>
      </c>
      <c r="T25">
        <v>8.2233417468226093E-3</v>
      </c>
      <c r="U25">
        <v>0.27559727607871598</v>
      </c>
      <c r="V25">
        <v>0.69724783526581302</v>
      </c>
      <c r="W25">
        <v>0.69787669930263097</v>
      </c>
    </row>
    <row r="26" spans="1:23">
      <c r="A26">
        <v>90</v>
      </c>
      <c r="B26">
        <v>497.95</v>
      </c>
      <c r="C26">
        <v>19876.5</v>
      </c>
      <c r="D26">
        <v>220.851</v>
      </c>
      <c r="E26">
        <v>363.07</v>
      </c>
      <c r="F26">
        <v>-12799.8</v>
      </c>
      <c r="G26">
        <v>142.21899999999999</v>
      </c>
      <c r="I26">
        <v>90</v>
      </c>
      <c r="J26">
        <v>496.85356205139101</v>
      </c>
      <c r="K26">
        <v>19871.983875206199</v>
      </c>
      <c r="L26">
        <v>220.79982083562501</v>
      </c>
      <c r="M26">
        <v>362.110632331712</v>
      </c>
      <c r="N26">
        <v>-12717.973034647801</v>
      </c>
      <c r="O26">
        <v>141.31081149608701</v>
      </c>
      <c r="Q26">
        <v>0</v>
      </c>
      <c r="R26">
        <v>0.220190370239676</v>
      </c>
      <c r="S26">
        <v>2.2720925684782501E-2</v>
      </c>
      <c r="T26">
        <v>2.3173616770964901E-2</v>
      </c>
      <c r="U26">
        <v>0.26423765893275197</v>
      </c>
      <c r="V26">
        <v>0.63928315561263105</v>
      </c>
      <c r="W26">
        <v>0.63858450974363401</v>
      </c>
    </row>
    <row r="27" spans="1:23">
      <c r="A27">
        <v>95</v>
      </c>
      <c r="B27">
        <v>525.81700000000001</v>
      </c>
      <c r="C27">
        <v>22436.1</v>
      </c>
      <c r="D27">
        <v>236.17</v>
      </c>
      <c r="E27">
        <v>390.74099999999999</v>
      </c>
      <c r="F27">
        <v>-14684.3</v>
      </c>
      <c r="G27">
        <v>154.571</v>
      </c>
      <c r="I27">
        <v>95</v>
      </c>
      <c r="J27">
        <v>526.75792254339501</v>
      </c>
      <c r="K27">
        <v>22429.439480340901</v>
      </c>
      <c r="L27">
        <v>236.09936295095699</v>
      </c>
      <c r="M27">
        <v>389.75802287004097</v>
      </c>
      <c r="N27">
        <v>-14597.5726923129</v>
      </c>
      <c r="O27">
        <v>153.65865991908299</v>
      </c>
      <c r="Q27">
        <v>0</v>
      </c>
      <c r="R27">
        <v>-0.17894486929768399</v>
      </c>
      <c r="S27">
        <v>2.96866195952986E-2</v>
      </c>
      <c r="T27">
        <v>2.9909408071439301E-2</v>
      </c>
      <c r="U27">
        <v>0.25156743980249502</v>
      </c>
      <c r="V27">
        <v>0.59061247514049098</v>
      </c>
      <c r="W27">
        <v>0.59024013619396898</v>
      </c>
    </row>
    <row r="28" spans="1:23">
      <c r="A28">
        <v>96.6</v>
      </c>
      <c r="B28">
        <v>534.67399999999998</v>
      </c>
      <c r="C28">
        <v>23284.5</v>
      </c>
      <c r="D28">
        <v>241.041</v>
      </c>
      <c r="E28">
        <v>399.59699999999998</v>
      </c>
      <c r="F28">
        <v>-15316.5</v>
      </c>
      <c r="G28">
        <v>158.55600000000001</v>
      </c>
    </row>
    <row r="29" spans="1:23">
      <c r="A29" t="s">
        <v>75</v>
      </c>
    </row>
    <row r="30" spans="1:23">
      <c r="A30">
        <v>96.6</v>
      </c>
      <c r="B30">
        <v>534.83399999999995</v>
      </c>
      <c r="C30">
        <v>23284.5</v>
      </c>
      <c r="D30">
        <v>241.041</v>
      </c>
      <c r="E30">
        <v>399.59699999999998</v>
      </c>
      <c r="F30">
        <v>-15316.5</v>
      </c>
      <c r="G30">
        <v>158.55600000000001</v>
      </c>
    </row>
    <row r="31" spans="1:23">
      <c r="A31">
        <v>100</v>
      </c>
      <c r="B31">
        <v>554.06799999999998</v>
      </c>
      <c r="C31">
        <v>25135.7</v>
      </c>
      <c r="D31">
        <v>251.357</v>
      </c>
      <c r="E31">
        <v>418.42899999999997</v>
      </c>
      <c r="F31">
        <v>-16707.2</v>
      </c>
      <c r="G31">
        <v>167.072</v>
      </c>
      <c r="I31">
        <v>100</v>
      </c>
      <c r="J31">
        <v>555.63962140209605</v>
      </c>
      <c r="K31">
        <v>25135.433340204701</v>
      </c>
      <c r="L31">
        <v>251.35433340204699</v>
      </c>
      <c r="M31">
        <v>417.51106399833998</v>
      </c>
      <c r="N31">
        <v>-16615.673059629298</v>
      </c>
      <c r="O31">
        <v>166.15673059629299</v>
      </c>
      <c r="Q31">
        <v>0</v>
      </c>
      <c r="R31">
        <v>-0.28365135725157098</v>
      </c>
      <c r="S31">
        <v>1.06088072063124E-3</v>
      </c>
      <c r="T31">
        <v>1.06088072062944E-3</v>
      </c>
      <c r="U31">
        <v>0.21937676443531101</v>
      </c>
      <c r="V31">
        <v>0.54782932131421103</v>
      </c>
      <c r="W31">
        <v>0.54782932131421003</v>
      </c>
    </row>
    <row r="32" spans="1:23">
      <c r="A32">
        <v>110</v>
      </c>
      <c r="B32">
        <v>609.18499999999995</v>
      </c>
      <c r="C32">
        <v>30954</v>
      </c>
      <c r="D32">
        <v>281.39999999999998</v>
      </c>
      <c r="E32">
        <v>473.84199999999998</v>
      </c>
      <c r="F32">
        <v>-21168.6</v>
      </c>
      <c r="G32">
        <v>192.441</v>
      </c>
      <c r="I32">
        <v>110</v>
      </c>
      <c r="J32">
        <v>608.62426592997997</v>
      </c>
      <c r="K32">
        <v>30951.0266264407</v>
      </c>
      <c r="L32">
        <v>281.37296933127902</v>
      </c>
      <c r="M32">
        <v>472.89778063777499</v>
      </c>
      <c r="N32">
        <v>-21067.729243714399</v>
      </c>
      <c r="O32">
        <v>191.524811306495</v>
      </c>
      <c r="Q32">
        <v>0</v>
      </c>
      <c r="R32">
        <v>9.2046598327194695E-2</v>
      </c>
      <c r="S32">
        <v>9.6057813504081997E-3</v>
      </c>
      <c r="T32">
        <v>9.6057813504067304E-3</v>
      </c>
      <c r="U32">
        <v>0.199268820033808</v>
      </c>
      <c r="V32">
        <v>0.47651123024433101</v>
      </c>
      <c r="W32">
        <v>0.47608809635398902</v>
      </c>
    </row>
    <row r="33" spans="1:23">
      <c r="A33">
        <v>120</v>
      </c>
      <c r="B33">
        <v>661.73800000000006</v>
      </c>
      <c r="C33">
        <v>37310.699999999997</v>
      </c>
      <c r="D33">
        <v>310.923</v>
      </c>
      <c r="E33">
        <v>529.11900000000003</v>
      </c>
      <c r="F33">
        <v>-26183.599999999999</v>
      </c>
      <c r="G33">
        <v>218.196</v>
      </c>
      <c r="I33">
        <v>120</v>
      </c>
      <c r="J33">
        <v>661.62426944971503</v>
      </c>
      <c r="K33">
        <v>37299.317271448497</v>
      </c>
      <c r="L33">
        <v>310.82764392873702</v>
      </c>
      <c r="M33">
        <v>528.10517225170395</v>
      </c>
      <c r="N33">
        <v>-26073.303398755899</v>
      </c>
      <c r="O33">
        <v>217.27752832296599</v>
      </c>
      <c r="Q33">
        <v>0</v>
      </c>
      <c r="R33">
        <v>1.7186643397322201E-2</v>
      </c>
      <c r="S33">
        <v>3.0507946919974101E-2</v>
      </c>
      <c r="T33">
        <v>3.0668709378946401E-2</v>
      </c>
      <c r="U33">
        <v>0.191606755436105</v>
      </c>
      <c r="V33">
        <v>0.42124307293128999</v>
      </c>
      <c r="W33">
        <v>0.42093882428351798</v>
      </c>
    </row>
    <row r="34" spans="1:23">
      <c r="A34">
        <v>130</v>
      </c>
      <c r="B34">
        <v>712.15800000000002</v>
      </c>
      <c r="C34">
        <v>44181.7</v>
      </c>
      <c r="D34">
        <v>339.85899999999998</v>
      </c>
      <c r="E34">
        <v>584.08900000000006</v>
      </c>
      <c r="F34">
        <v>-31749.9</v>
      </c>
      <c r="G34">
        <v>244.23</v>
      </c>
      <c r="I34">
        <v>130</v>
      </c>
      <c r="J34">
        <v>712.42123339658394</v>
      </c>
      <c r="K34">
        <v>44169.544785680002</v>
      </c>
      <c r="L34">
        <v>339.76572912061499</v>
      </c>
      <c r="M34">
        <v>583.07366681454096</v>
      </c>
      <c r="N34">
        <v>-31630.031900210299</v>
      </c>
      <c r="O34">
        <v>243.30793769392599</v>
      </c>
      <c r="Q34">
        <v>0</v>
      </c>
      <c r="R34">
        <v>-3.6962780251627102E-2</v>
      </c>
      <c r="S34">
        <v>2.7511875550223899E-2</v>
      </c>
      <c r="T34">
        <v>2.74439927688894E-2</v>
      </c>
      <c r="U34">
        <v>0.17383193065755601</v>
      </c>
      <c r="V34">
        <v>0.37753851126969001</v>
      </c>
      <c r="W34">
        <v>0.37753851126968002</v>
      </c>
    </row>
    <row r="35" spans="1:23">
      <c r="A35">
        <v>140</v>
      </c>
      <c r="B35">
        <v>761.25400000000002</v>
      </c>
      <c r="C35">
        <v>51549.5</v>
      </c>
      <c r="D35">
        <v>368.21100000000001</v>
      </c>
      <c r="E35">
        <v>638.66800000000001</v>
      </c>
      <c r="F35">
        <v>-37864</v>
      </c>
      <c r="G35">
        <v>270.45699999999999</v>
      </c>
      <c r="I35">
        <v>140</v>
      </c>
      <c r="J35">
        <v>760.32815080539797</v>
      </c>
      <c r="K35">
        <v>51539.402216522598</v>
      </c>
      <c r="L35">
        <v>368.138587260875</v>
      </c>
      <c r="M35">
        <v>637.67581196091498</v>
      </c>
      <c r="N35">
        <v>-37735.211458005397</v>
      </c>
      <c r="O35">
        <v>269.53722470003902</v>
      </c>
      <c r="Q35">
        <v>0</v>
      </c>
      <c r="R35">
        <v>0.121621586829325</v>
      </c>
      <c r="S35">
        <v>1.9588518758408301E-2</v>
      </c>
      <c r="T35">
        <v>1.96660988194397E-2</v>
      </c>
      <c r="U35">
        <v>0.15535270893248199</v>
      </c>
      <c r="V35">
        <v>0.34013453938971899</v>
      </c>
      <c r="W35">
        <v>0.340081898401912</v>
      </c>
    </row>
    <row r="36" spans="1:23">
      <c r="A36">
        <v>150</v>
      </c>
      <c r="B36">
        <v>809.70899999999995</v>
      </c>
      <c r="C36">
        <v>59404.6</v>
      </c>
      <c r="D36">
        <v>396.03100000000001</v>
      </c>
      <c r="E36">
        <v>692.84400000000005</v>
      </c>
      <c r="F36">
        <v>-44521.9</v>
      </c>
      <c r="G36">
        <v>296.81299999999999</v>
      </c>
      <c r="I36">
        <v>150</v>
      </c>
      <c r="J36">
        <v>808.81017097862696</v>
      </c>
      <c r="K36">
        <v>59383.571415126396</v>
      </c>
      <c r="L36">
        <v>395.89047610084299</v>
      </c>
      <c r="M36">
        <v>691.77813261239498</v>
      </c>
      <c r="N36">
        <v>-44383.148476732698</v>
      </c>
      <c r="O36">
        <v>295.88765651155097</v>
      </c>
      <c r="Q36">
        <v>0</v>
      </c>
      <c r="R36">
        <v>0.111006425934787</v>
      </c>
      <c r="S36">
        <v>3.5398916706006901E-2</v>
      </c>
      <c r="T36">
        <v>3.5483055406496801E-2</v>
      </c>
      <c r="U36">
        <v>0.15383944836140101</v>
      </c>
      <c r="V36">
        <v>0.311647803142309</v>
      </c>
      <c r="W36">
        <v>0.31175975730446598</v>
      </c>
    </row>
    <row r="37" spans="1:23">
      <c r="A37">
        <v>160</v>
      </c>
      <c r="B37">
        <v>857.86500000000001</v>
      </c>
      <c r="C37">
        <v>67742.7</v>
      </c>
      <c r="D37">
        <v>423.392</v>
      </c>
      <c r="E37">
        <v>746.64</v>
      </c>
      <c r="F37">
        <v>-51719.6</v>
      </c>
      <c r="G37">
        <v>323.24799999999999</v>
      </c>
      <c r="I37">
        <v>160</v>
      </c>
      <c r="J37">
        <v>858.26128711710396</v>
      </c>
      <c r="K37">
        <v>67723.420540540901</v>
      </c>
      <c r="L37">
        <v>423.27137837838097</v>
      </c>
      <c r="M37">
        <v>745.58610541268899</v>
      </c>
      <c r="N37">
        <v>-51570.3563254892</v>
      </c>
      <c r="O37">
        <v>322.314727034307</v>
      </c>
      <c r="Q37">
        <v>0</v>
      </c>
      <c r="R37">
        <v>-4.6194578063442598E-2</v>
      </c>
      <c r="S37">
        <v>2.8459833249942199E-2</v>
      </c>
      <c r="T37">
        <v>2.84893483152245E-2</v>
      </c>
      <c r="U37">
        <v>0.14115163764476499</v>
      </c>
      <c r="V37">
        <v>0.28856308732227898</v>
      </c>
      <c r="W37">
        <v>0.28871732097092101</v>
      </c>
    </row>
    <row r="38" spans="1:23">
      <c r="A38">
        <v>170</v>
      </c>
      <c r="B38">
        <v>905.71199999999999</v>
      </c>
      <c r="C38">
        <v>76560.899999999994</v>
      </c>
      <c r="D38">
        <v>450.358</v>
      </c>
      <c r="E38">
        <v>800.08500000000004</v>
      </c>
      <c r="F38">
        <v>-59453.599999999999</v>
      </c>
      <c r="G38">
        <v>349.72699999999998</v>
      </c>
      <c r="I38">
        <v>170</v>
      </c>
      <c r="J38">
        <v>906.44159675785204</v>
      </c>
      <c r="K38">
        <v>76542.597882118396</v>
      </c>
      <c r="L38">
        <v>450.250575777167</v>
      </c>
      <c r="M38">
        <v>799.03926113112095</v>
      </c>
      <c r="N38">
        <v>-59294.076510172199</v>
      </c>
      <c r="O38">
        <v>348.78868535395401</v>
      </c>
      <c r="Q38">
        <v>0</v>
      </c>
      <c r="R38">
        <v>-8.0555050374971696E-2</v>
      </c>
      <c r="S38">
        <v>2.3905306601128499E-2</v>
      </c>
      <c r="T38">
        <v>2.3853073073619099E-2</v>
      </c>
      <c r="U38">
        <v>0.13070347136593899</v>
      </c>
      <c r="V38">
        <v>0.26831594693627397</v>
      </c>
      <c r="W38">
        <v>0.26829917222441602</v>
      </c>
    </row>
    <row r="39" spans="1:23">
      <c r="A39">
        <v>180</v>
      </c>
      <c r="B39">
        <v>952.995</v>
      </c>
      <c r="C39">
        <v>85855.1</v>
      </c>
      <c r="D39">
        <v>476.97300000000001</v>
      </c>
      <c r="E39">
        <v>853.19600000000003</v>
      </c>
      <c r="F39">
        <v>-67720.2</v>
      </c>
      <c r="G39">
        <v>376.22399999999999</v>
      </c>
      <c r="I39">
        <v>180</v>
      </c>
      <c r="J39">
        <v>953.59458561296799</v>
      </c>
      <c r="K39">
        <v>85842.778793972495</v>
      </c>
      <c r="L39">
        <v>476.90432663318001</v>
      </c>
      <c r="M39">
        <v>852.18804658383704</v>
      </c>
      <c r="N39">
        <v>-67551.069591118197</v>
      </c>
      <c r="O39">
        <v>375.28371995065601</v>
      </c>
      <c r="Q39">
        <v>0</v>
      </c>
      <c r="R39">
        <v>-6.2915924319493097E-2</v>
      </c>
      <c r="S39">
        <v>1.43511637951576E-2</v>
      </c>
      <c r="T39">
        <v>1.43977472140734E-2</v>
      </c>
      <c r="U39">
        <v>0.118138553880088</v>
      </c>
      <c r="V39">
        <v>0.249748832522348</v>
      </c>
      <c r="W39">
        <v>0.24992558936786499</v>
      </c>
    </row>
    <row r="40" spans="1:23">
      <c r="A40">
        <v>190</v>
      </c>
      <c r="B40">
        <v>999.36800000000005</v>
      </c>
      <c r="C40">
        <v>95617.8</v>
      </c>
      <c r="D40">
        <v>503.25200000000001</v>
      </c>
      <c r="E40">
        <v>905.96900000000005</v>
      </c>
      <c r="F40">
        <v>-76516.399999999994</v>
      </c>
      <c r="G40">
        <v>402.71800000000002</v>
      </c>
      <c r="I40">
        <v>190</v>
      </c>
      <c r="J40">
        <v>998.90817770034801</v>
      </c>
      <c r="K40">
        <v>95608.609919638198</v>
      </c>
      <c r="L40">
        <v>503.20321010335903</v>
      </c>
      <c r="M40">
        <v>904.97992720405205</v>
      </c>
      <c r="N40">
        <v>-76337.576249131802</v>
      </c>
      <c r="O40">
        <v>401.77671710069302</v>
      </c>
      <c r="Q40">
        <v>0</v>
      </c>
      <c r="R40">
        <v>4.6011309112529597E-2</v>
      </c>
      <c r="S40">
        <v>9.6112652265478004E-3</v>
      </c>
      <c r="T40">
        <v>9.6949235454569394E-3</v>
      </c>
      <c r="U40">
        <v>0.109172918272833</v>
      </c>
      <c r="V40">
        <v>0.233706435310813</v>
      </c>
      <c r="W40">
        <v>0.23373251240474599</v>
      </c>
    </row>
    <row r="41" spans="1:23">
      <c r="A41">
        <v>200</v>
      </c>
      <c r="B41">
        <v>1044.55</v>
      </c>
      <c r="C41">
        <v>105838</v>
      </c>
      <c r="D41">
        <v>529.19200000000001</v>
      </c>
      <c r="E41">
        <v>958.38499999999999</v>
      </c>
      <c r="F41">
        <v>-85838.399999999994</v>
      </c>
      <c r="G41">
        <v>429.19200000000001</v>
      </c>
      <c r="I41">
        <v>200</v>
      </c>
      <c r="J41">
        <v>1044.0277890825901</v>
      </c>
      <c r="K41">
        <v>105820.500960534</v>
      </c>
      <c r="L41">
        <v>529.10250480266996</v>
      </c>
      <c r="M41">
        <v>957.352509261661</v>
      </c>
      <c r="N41">
        <v>-85650.000891798205</v>
      </c>
      <c r="O41">
        <v>428.25000445899099</v>
      </c>
      <c r="Q41">
        <v>0</v>
      </c>
      <c r="R41">
        <v>4.9993865052404399E-2</v>
      </c>
      <c r="S41">
        <v>1.65337964303367E-2</v>
      </c>
      <c r="T41">
        <v>1.69116686060467E-2</v>
      </c>
      <c r="U41">
        <v>0.107732355821335</v>
      </c>
      <c r="V41">
        <v>0.21948115086223699</v>
      </c>
      <c r="W41">
        <v>0.21948115086224301</v>
      </c>
    </row>
    <row r="42" spans="1:23">
      <c r="A42">
        <v>210</v>
      </c>
      <c r="B42">
        <v>1088.45</v>
      </c>
      <c r="C42">
        <v>116505</v>
      </c>
      <c r="D42">
        <v>554.78399999999999</v>
      </c>
      <c r="E42">
        <v>1010.42</v>
      </c>
      <c r="F42">
        <v>-95682.8</v>
      </c>
      <c r="G42">
        <v>455.63200000000001</v>
      </c>
      <c r="I42">
        <v>210</v>
      </c>
      <c r="J42">
        <v>1088.00035267219</v>
      </c>
      <c r="K42">
        <v>116480.641669308</v>
      </c>
      <c r="L42">
        <v>554.66972223480002</v>
      </c>
      <c r="M42">
        <v>1009.35797429044</v>
      </c>
      <c r="N42">
        <v>-95484.532931685506</v>
      </c>
      <c r="O42">
        <v>454.68825205564502</v>
      </c>
      <c r="Q42">
        <v>0</v>
      </c>
      <c r="R42">
        <v>4.1310793128572901E-2</v>
      </c>
      <c r="S42">
        <v>2.0907541042877498E-2</v>
      </c>
      <c r="T42">
        <v>2.0598605078728301E-2</v>
      </c>
      <c r="U42">
        <v>0.105107352344027</v>
      </c>
      <c r="V42">
        <v>0.207212861992388</v>
      </c>
      <c r="W42">
        <v>0.207129425579091</v>
      </c>
    </row>
    <row r="43" spans="1:23">
      <c r="A43">
        <v>220</v>
      </c>
      <c r="B43">
        <v>1131.21</v>
      </c>
      <c r="C43">
        <v>127604</v>
      </c>
      <c r="D43">
        <v>580.01700000000005</v>
      </c>
      <c r="E43">
        <v>1062.04</v>
      </c>
      <c r="F43">
        <v>-106045</v>
      </c>
      <c r="G43">
        <v>482.02499999999998</v>
      </c>
      <c r="I43">
        <v>220</v>
      </c>
      <c r="J43">
        <v>1131.4287646533101</v>
      </c>
      <c r="K43">
        <v>127578.791404384</v>
      </c>
      <c r="L43">
        <v>579.90359729265799</v>
      </c>
      <c r="M43">
        <v>1060.9795826862901</v>
      </c>
      <c r="N43">
        <v>-105836.716786598</v>
      </c>
      <c r="O43">
        <v>481.07598539363102</v>
      </c>
      <c r="Q43">
        <v>0</v>
      </c>
      <c r="R43">
        <v>-1.93389957049829E-2</v>
      </c>
      <c r="S43">
        <v>1.9755333386950201E-2</v>
      </c>
      <c r="T43">
        <v>1.95516178562661E-2</v>
      </c>
      <c r="U43">
        <v>9.9847210435543801E-2</v>
      </c>
      <c r="V43">
        <v>0.19641021585273999</v>
      </c>
      <c r="W43">
        <v>0.19688078551285401</v>
      </c>
    </row>
    <row r="44" spans="1:23">
      <c r="A44">
        <v>230</v>
      </c>
      <c r="B44">
        <v>1173.17</v>
      </c>
      <c r="C44">
        <v>139126</v>
      </c>
      <c r="D44">
        <v>604.89599999999996</v>
      </c>
      <c r="E44">
        <v>1113.25</v>
      </c>
      <c r="F44">
        <v>-116922</v>
      </c>
      <c r="G44">
        <v>508.35700000000003</v>
      </c>
      <c r="I44">
        <v>230</v>
      </c>
      <c r="J44">
        <v>1174.8656568364599</v>
      </c>
      <c r="K44">
        <v>139110.26351183301</v>
      </c>
      <c r="L44">
        <v>604.82723266014602</v>
      </c>
      <c r="M44">
        <v>1112.23443054936</v>
      </c>
      <c r="N44">
        <v>-116703.65551451901</v>
      </c>
      <c r="O44">
        <v>507.40719788921399</v>
      </c>
      <c r="Q44">
        <v>0</v>
      </c>
      <c r="R44">
        <v>-0.144536327766735</v>
      </c>
      <c r="S44">
        <v>1.1310961406356001E-2</v>
      </c>
      <c r="T44">
        <v>1.13684567021479E-2</v>
      </c>
      <c r="U44">
        <v>9.1225641198128704E-2</v>
      </c>
      <c r="V44">
        <v>0.186743714168908</v>
      </c>
      <c r="W44">
        <v>0.186837618206325</v>
      </c>
    </row>
    <row r="45" spans="1:23">
      <c r="A45">
        <v>240</v>
      </c>
      <c r="B45">
        <v>1214.82</v>
      </c>
      <c r="C45">
        <v>151066</v>
      </c>
      <c r="D45">
        <v>629.44200000000001</v>
      </c>
      <c r="E45">
        <v>1164.06</v>
      </c>
      <c r="F45">
        <v>-128309</v>
      </c>
      <c r="G45">
        <v>534.62099999999998</v>
      </c>
      <c r="I45">
        <v>240</v>
      </c>
      <c r="J45">
        <v>1214.8281885039601</v>
      </c>
      <c r="K45">
        <v>151061.81902791699</v>
      </c>
      <c r="L45">
        <v>629.42424594965496</v>
      </c>
      <c r="M45">
        <v>1163.09456054714</v>
      </c>
      <c r="N45">
        <v>-128080.87550339699</v>
      </c>
      <c r="O45">
        <v>533.67031459748898</v>
      </c>
      <c r="Q45">
        <v>0</v>
      </c>
      <c r="R45">
        <v>-6.7405080319746496E-4</v>
      </c>
      <c r="S45">
        <v>2.76764598438644E-3</v>
      </c>
      <c r="T45">
        <v>2.8206014763764698E-3</v>
      </c>
      <c r="U45">
        <v>8.2937258634061997E-2</v>
      </c>
      <c r="V45">
        <v>0.17779305941326701</v>
      </c>
      <c r="W45">
        <v>0.17782417871925299</v>
      </c>
    </row>
    <row r="46" spans="1:23">
      <c r="A46">
        <v>250</v>
      </c>
      <c r="B46">
        <v>1256.6099999999999</v>
      </c>
      <c r="C46">
        <v>163423</v>
      </c>
      <c r="D46">
        <v>653.69200000000001</v>
      </c>
      <c r="E46">
        <v>1214.5</v>
      </c>
      <c r="F46">
        <v>-140202</v>
      </c>
      <c r="G46">
        <v>560.80899999999997</v>
      </c>
      <c r="I46">
        <v>250</v>
      </c>
      <c r="J46">
        <v>1256.1287497580799</v>
      </c>
      <c r="K46">
        <v>163416.60371922699</v>
      </c>
      <c r="L46">
        <v>653.66641487690902</v>
      </c>
      <c r="M46">
        <v>1213.5260561361299</v>
      </c>
      <c r="N46">
        <v>-139964.910314807</v>
      </c>
      <c r="O46">
        <v>559.85964125922806</v>
      </c>
      <c r="Q46">
        <v>0</v>
      </c>
      <c r="R46">
        <v>3.8297502162144503E-2</v>
      </c>
      <c r="S46">
        <v>3.9139415948474003E-3</v>
      </c>
      <c r="T46">
        <v>3.9139415948482303E-3</v>
      </c>
      <c r="U46">
        <v>8.0192990025644298E-2</v>
      </c>
      <c r="V46">
        <v>0.16910577965565801</v>
      </c>
      <c r="W46">
        <v>0.169283791945427</v>
      </c>
    </row>
    <row r="47" spans="1:23">
      <c r="A47">
        <v>260</v>
      </c>
      <c r="B47">
        <v>1298.8</v>
      </c>
      <c r="C47">
        <v>176200</v>
      </c>
      <c r="D47">
        <v>677.69100000000003</v>
      </c>
      <c r="E47">
        <v>1264.6099999999999</v>
      </c>
      <c r="F47">
        <v>-152598</v>
      </c>
      <c r="G47">
        <v>586.91499999999996</v>
      </c>
      <c r="I47">
        <v>260</v>
      </c>
      <c r="J47">
        <v>1298.9910172898999</v>
      </c>
      <c r="K47">
        <v>176188.82772966399</v>
      </c>
      <c r="L47">
        <v>677.64933742178698</v>
      </c>
      <c r="M47">
        <v>1263.6146863292599</v>
      </c>
      <c r="N47">
        <v>-152350.99071594499</v>
      </c>
      <c r="O47">
        <v>585.96534890748205</v>
      </c>
      <c r="Q47">
        <v>0</v>
      </c>
      <c r="R47">
        <v>-1.47072135746594E-2</v>
      </c>
      <c r="S47">
        <v>6.3406755591862403E-3</v>
      </c>
      <c r="T47">
        <v>6.1477248794374502E-3</v>
      </c>
      <c r="U47">
        <v>7.8705187427777004E-2</v>
      </c>
      <c r="V47">
        <v>0.161869280105018</v>
      </c>
      <c r="W47">
        <v>0.161803854479423</v>
      </c>
    </row>
    <row r="48" spans="1:23">
      <c r="A48">
        <v>270</v>
      </c>
      <c r="B48">
        <v>1341.34</v>
      </c>
      <c r="C48">
        <v>189400</v>
      </c>
      <c r="D48">
        <v>701.48199999999997</v>
      </c>
      <c r="E48">
        <v>1314.42</v>
      </c>
      <c r="F48">
        <v>-165493</v>
      </c>
      <c r="G48">
        <v>612.93899999999996</v>
      </c>
      <c r="I48">
        <v>270</v>
      </c>
      <c r="J48">
        <v>1342.6312799892701</v>
      </c>
      <c r="K48">
        <v>189396.93921606001</v>
      </c>
      <c r="L48">
        <v>701.47014524466897</v>
      </c>
      <c r="M48">
        <v>1313.45882503763</v>
      </c>
      <c r="N48">
        <v>-165236.943544101</v>
      </c>
      <c r="O48">
        <v>611.98867979296801</v>
      </c>
      <c r="Q48">
        <v>0</v>
      </c>
      <c r="R48">
        <v>-9.6267910393908696E-2</v>
      </c>
      <c r="S48">
        <v>1.6160422066255301E-3</v>
      </c>
      <c r="T48">
        <v>1.68995859207894E-3</v>
      </c>
      <c r="U48">
        <v>7.3125406062181E-2</v>
      </c>
      <c r="V48">
        <v>0.15472343597525801</v>
      </c>
      <c r="W48">
        <v>0.15504319467868799</v>
      </c>
    </row>
    <row r="49" spans="1:23">
      <c r="A49">
        <v>273.14999999999998</v>
      </c>
      <c r="B49">
        <v>1354.75</v>
      </c>
      <c r="C49">
        <v>193647</v>
      </c>
      <c r="D49">
        <v>708.93899999999996</v>
      </c>
      <c r="E49">
        <v>1330.06</v>
      </c>
      <c r="F49">
        <v>-169658</v>
      </c>
      <c r="G49">
        <v>621.11800000000005</v>
      </c>
      <c r="I49">
        <v>273.14999999999998</v>
      </c>
      <c r="J49">
        <v>1356.37796273957</v>
      </c>
      <c r="K49">
        <v>193647.87877335801</v>
      </c>
      <c r="L49">
        <v>708.94335996104098</v>
      </c>
      <c r="M49">
        <v>1329.11180108401</v>
      </c>
      <c r="N49">
        <v>-169399.009692739</v>
      </c>
      <c r="O49">
        <v>620.16844112297201</v>
      </c>
      <c r="Q49">
        <v>0</v>
      </c>
      <c r="R49">
        <v>-0.120167022666843</v>
      </c>
      <c r="S49">
        <v>-4.5380168996328002E-4</v>
      </c>
      <c r="T49">
        <v>-6.1499805229050901E-4</v>
      </c>
      <c r="U49">
        <v>7.1289935490582407E-2</v>
      </c>
      <c r="V49">
        <v>0.15265434418666801</v>
      </c>
      <c r="W49">
        <v>0.15287898225909299</v>
      </c>
    </row>
    <row r="50" spans="1:23">
      <c r="A50">
        <v>280</v>
      </c>
      <c r="B50">
        <v>1383.79</v>
      </c>
      <c r="C50">
        <v>203026</v>
      </c>
      <c r="D50">
        <v>725.09400000000005</v>
      </c>
      <c r="E50">
        <v>1363.97</v>
      </c>
      <c r="F50">
        <v>-178886</v>
      </c>
      <c r="G50">
        <v>638.87699999999995</v>
      </c>
      <c r="I50">
        <v>280</v>
      </c>
      <c r="J50">
        <v>1382.69734453504</v>
      </c>
      <c r="K50">
        <v>203036.122044702</v>
      </c>
      <c r="L50">
        <v>725.12900730250897</v>
      </c>
      <c r="M50">
        <v>1363.05704021525</v>
      </c>
      <c r="N50">
        <v>-178619.84921556999</v>
      </c>
      <c r="O50">
        <v>637.92803291275004</v>
      </c>
      <c r="Q50">
        <v>0</v>
      </c>
      <c r="R50">
        <v>7.8961075376566894E-2</v>
      </c>
      <c r="S50">
        <v>-4.9855903690234201E-3</v>
      </c>
      <c r="T50">
        <v>-4.82796747859684E-3</v>
      </c>
      <c r="U50">
        <v>6.6934007693734004E-2</v>
      </c>
      <c r="V50">
        <v>0.14878234430301401</v>
      </c>
      <c r="W50">
        <v>0.148536742948888</v>
      </c>
    </row>
    <row r="51" spans="1:23">
      <c r="A51">
        <v>290</v>
      </c>
      <c r="B51">
        <v>1425.45</v>
      </c>
      <c r="C51">
        <v>217073</v>
      </c>
      <c r="D51">
        <v>748.529</v>
      </c>
      <c r="E51">
        <v>1413.26</v>
      </c>
      <c r="F51">
        <v>-192772</v>
      </c>
      <c r="G51">
        <v>664.73099999999999</v>
      </c>
      <c r="I51">
        <v>290</v>
      </c>
      <c r="J51">
        <v>1425.4162309529599</v>
      </c>
      <c r="K51">
        <v>217076.68992214199</v>
      </c>
      <c r="L51">
        <v>748.54031007635399</v>
      </c>
      <c r="M51">
        <v>1412.32420613779</v>
      </c>
      <c r="N51">
        <v>-192497.329857818</v>
      </c>
      <c r="O51">
        <v>663.78389606144196</v>
      </c>
      <c r="Q51">
        <v>0</v>
      </c>
      <c r="R51">
        <v>2.3690095780822501E-3</v>
      </c>
      <c r="S51">
        <v>-1.69985311056029E-3</v>
      </c>
      <c r="T51">
        <v>-1.51097370363833E-3</v>
      </c>
      <c r="U51">
        <v>6.6215265570636797E-2</v>
      </c>
      <c r="V51">
        <v>0.14248445945558</v>
      </c>
      <c r="W51">
        <v>0.14247927937129001</v>
      </c>
    </row>
    <row r="52" spans="1:23">
      <c r="A52">
        <v>298.14999999999998</v>
      </c>
      <c r="B52">
        <v>1458.39</v>
      </c>
      <c r="C52">
        <v>228826</v>
      </c>
      <c r="D52">
        <v>767.48500000000001</v>
      </c>
      <c r="E52">
        <v>1453.22</v>
      </c>
      <c r="F52">
        <v>-204453</v>
      </c>
      <c r="G52">
        <v>685.73900000000003</v>
      </c>
      <c r="I52">
        <v>298.14999999999998</v>
      </c>
      <c r="J52">
        <v>1460.2321233835701</v>
      </c>
      <c r="K52">
        <v>228835.706966064</v>
      </c>
      <c r="L52">
        <v>767.51872200591595</v>
      </c>
      <c r="M52">
        <v>1452.3116551485</v>
      </c>
      <c r="N52">
        <v>-204171.01301646201</v>
      </c>
      <c r="O52">
        <v>684.79293314258803</v>
      </c>
      <c r="Q52">
        <v>0</v>
      </c>
      <c r="R52">
        <v>-0.126312123888389</v>
      </c>
      <c r="S52">
        <v>-4.2420730441840304E-3</v>
      </c>
      <c r="T52">
        <v>-4.3938325722122301E-3</v>
      </c>
      <c r="U52">
        <v>6.2505666829150097E-2</v>
      </c>
      <c r="V52">
        <v>0.13792264409778099</v>
      </c>
      <c r="W52">
        <v>0.137963110952044</v>
      </c>
    </row>
    <row r="53" spans="1:23">
      <c r="A53">
        <v>300</v>
      </c>
      <c r="B53">
        <v>1465.73</v>
      </c>
      <c r="C53">
        <v>231531</v>
      </c>
      <c r="D53">
        <v>771.76900000000001</v>
      </c>
      <c r="E53">
        <v>1462.27</v>
      </c>
      <c r="F53">
        <v>-207150</v>
      </c>
      <c r="G53">
        <v>690.49900000000002</v>
      </c>
      <c r="I53">
        <v>300</v>
      </c>
      <c r="J53">
        <v>1468.1351173708899</v>
      </c>
      <c r="K53">
        <v>231544.44666376201</v>
      </c>
      <c r="L53">
        <v>771.81482221253998</v>
      </c>
      <c r="M53">
        <v>1461.36872444348</v>
      </c>
      <c r="N53">
        <v>-206866.17066928401</v>
      </c>
      <c r="O53">
        <v>689.55390223094798</v>
      </c>
      <c r="Q53">
        <v>0</v>
      </c>
      <c r="R53">
        <v>-0.16409006917317301</v>
      </c>
      <c r="S53">
        <v>-5.8077163585032697E-3</v>
      </c>
      <c r="T53">
        <v>-5.9372963334850598E-3</v>
      </c>
      <c r="U53">
        <v>6.1635372161867201E-2</v>
      </c>
      <c r="V53">
        <v>0.137016331506366</v>
      </c>
      <c r="W53">
        <v>0.136871707135198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BF72A-8BE7-4B1D-913B-C0069B49FD98}">
  <dimension ref="A1:J33"/>
  <sheetViews>
    <sheetView workbookViewId="0"/>
  </sheetViews>
  <sheetFormatPr defaultRowHeight="14.25"/>
  <cols>
    <col min="1" max="1" width="16.875" customWidth="1"/>
    <col min="2" max="10" width="13.375" customWidth="1"/>
  </cols>
  <sheetData>
    <row r="1" spans="1:10">
      <c r="A1" s="33" t="s">
        <v>76</v>
      </c>
      <c r="B1" s="34">
        <v>42411</v>
      </c>
      <c r="C1" s="34">
        <v>42411</v>
      </c>
      <c r="D1" s="34">
        <v>42411</v>
      </c>
      <c r="E1" s="34">
        <v>42412</v>
      </c>
      <c r="F1" s="34">
        <v>42412</v>
      </c>
      <c r="G1" s="34">
        <v>42412</v>
      </c>
      <c r="H1" s="34">
        <v>42416</v>
      </c>
      <c r="I1" s="34">
        <v>42416</v>
      </c>
      <c r="J1" s="34">
        <v>42416</v>
      </c>
    </row>
    <row r="2" spans="1:10">
      <c r="A2" s="35" t="s">
        <v>77</v>
      </c>
      <c r="B2" t="s">
        <v>78</v>
      </c>
      <c r="C2" t="s">
        <v>79</v>
      </c>
      <c r="D2" t="s">
        <v>80</v>
      </c>
      <c r="E2" t="s">
        <v>78</v>
      </c>
      <c r="F2" t="s">
        <v>79</v>
      </c>
      <c r="G2" t="s">
        <v>80</v>
      </c>
      <c r="H2" t="s">
        <v>78</v>
      </c>
      <c r="I2" t="s">
        <v>79</v>
      </c>
      <c r="J2" t="s">
        <v>80</v>
      </c>
    </row>
    <row r="3" spans="1:10">
      <c r="A3" s="35" t="s">
        <v>81</v>
      </c>
      <c r="B3" s="37">
        <v>9.84</v>
      </c>
      <c r="C3" s="37">
        <v>10.119999999999999</v>
      </c>
      <c r="D3" s="37">
        <v>9.5779999999999994</v>
      </c>
      <c r="E3" s="37">
        <v>10.446</v>
      </c>
      <c r="F3" s="37">
        <v>9.9939999999999998</v>
      </c>
      <c r="G3" s="37">
        <v>9.5060000000000002</v>
      </c>
      <c r="H3" s="37">
        <v>10.48</v>
      </c>
      <c r="I3" s="37">
        <v>10.173999999999999</v>
      </c>
      <c r="J3" s="37">
        <v>9.9580000000000002</v>
      </c>
    </row>
    <row r="4" spans="1:10">
      <c r="A4" s="35" t="s">
        <v>82</v>
      </c>
      <c r="B4">
        <v>24.6</v>
      </c>
      <c r="C4">
        <v>24.6</v>
      </c>
      <c r="D4">
        <v>24.6</v>
      </c>
      <c r="E4">
        <v>24.6</v>
      </c>
      <c r="F4">
        <v>24.6</v>
      </c>
      <c r="G4">
        <v>24.6</v>
      </c>
      <c r="H4">
        <v>24.6</v>
      </c>
      <c r="I4">
        <v>24.6</v>
      </c>
      <c r="J4">
        <v>24.6</v>
      </c>
    </row>
    <row r="5" spans="1:10">
      <c r="A5" s="35" t="s">
        <v>83</v>
      </c>
      <c r="B5">
        <v>25</v>
      </c>
      <c r="C5">
        <v>25</v>
      </c>
      <c r="D5">
        <v>25</v>
      </c>
      <c r="E5">
        <v>25</v>
      </c>
      <c r="F5">
        <v>25</v>
      </c>
      <c r="G5">
        <v>25</v>
      </c>
      <c r="H5">
        <v>25</v>
      </c>
      <c r="I5">
        <v>25</v>
      </c>
      <c r="J5">
        <v>25</v>
      </c>
    </row>
    <row r="6" spans="1:10">
      <c r="A6" s="35" t="s">
        <v>84</v>
      </c>
      <c r="B6">
        <v>1212.0635466666699</v>
      </c>
      <c r="C6">
        <v>1212.0635466666699</v>
      </c>
      <c r="D6">
        <v>1212.0635466666699</v>
      </c>
      <c r="E6">
        <v>1212.0635466666699</v>
      </c>
      <c r="F6">
        <v>1212.0635466666699</v>
      </c>
      <c r="G6">
        <v>1212.0635466666699</v>
      </c>
      <c r="H6">
        <v>1212.0635466666699</v>
      </c>
      <c r="I6">
        <v>1212.0635466666699</v>
      </c>
      <c r="J6">
        <v>1212.0635466666699</v>
      </c>
    </row>
    <row r="7" spans="1:10">
      <c r="A7" s="39" t="s">
        <v>85</v>
      </c>
      <c r="B7" s="40">
        <v>8.1183862241062036E-6</v>
      </c>
      <c r="C7" s="40">
        <v>8.3493972142230453E-6</v>
      </c>
      <c r="D7" s="40">
        <v>7.9022259404968721E-6</v>
      </c>
      <c r="E7" s="40">
        <v>8.6183600098590867E-6</v>
      </c>
      <c r="F7" s="40">
        <v>8.2454422686704675E-6</v>
      </c>
      <c r="G7" s="40">
        <v>7.8428231144668264E-6</v>
      </c>
      <c r="H7" s="40">
        <v>8.6464113443732734E-6</v>
      </c>
      <c r="I7" s="40">
        <v>8.3939493337455808E-6</v>
      </c>
      <c r="J7" s="40">
        <v>8.2157408556554439E-6</v>
      </c>
    </row>
    <row r="8" spans="1:10">
      <c r="A8" s="39" t="s">
        <v>86</v>
      </c>
      <c r="B8" s="41">
        <v>-512.61714442360312</v>
      </c>
      <c r="C8" s="41">
        <v>-512.61714442360312</v>
      </c>
      <c r="D8" s="41">
        <v>-512.61714442360312</v>
      </c>
      <c r="E8" s="41">
        <v>-512.61714442360312</v>
      </c>
      <c r="F8" s="41">
        <v>-512.61714442360312</v>
      </c>
      <c r="G8" s="41">
        <v>-512.61714442360312</v>
      </c>
      <c r="H8" s="41">
        <v>-512.61714442360312</v>
      </c>
      <c r="I8" s="41">
        <v>-512.61714442360312</v>
      </c>
      <c r="J8" s="41">
        <v>-512.61714442360312</v>
      </c>
    </row>
    <row r="9" spans="1:10">
      <c r="A9" s="39" t="s">
        <v>87</v>
      </c>
      <c r="B9" s="41">
        <v>-512.58555601064586</v>
      </c>
      <c r="C9" s="41">
        <v>-512.58555601064586</v>
      </c>
      <c r="D9" s="41">
        <v>-512.58555601064586</v>
      </c>
      <c r="E9" s="41">
        <v>-512.58555601064586</v>
      </c>
      <c r="F9" s="41">
        <v>-512.58555601064586</v>
      </c>
      <c r="G9" s="41">
        <v>-512.58555601064586</v>
      </c>
      <c r="H9" s="41">
        <v>-512.58555601064586</v>
      </c>
      <c r="I9" s="41">
        <v>-512.58555601064586</v>
      </c>
      <c r="J9" s="41">
        <v>-512.58555601064586</v>
      </c>
    </row>
    <row r="10" spans="1:10">
      <c r="A10" s="39" t="s">
        <v>88</v>
      </c>
      <c r="B10" s="42">
        <v>2.5644693659361648E-4</v>
      </c>
      <c r="C10" s="42">
        <v>2.6374420714709326E-4</v>
      </c>
      <c r="D10" s="42">
        <v>2.4961877629000592E-4</v>
      </c>
      <c r="E10" s="42">
        <v>2.722403150057843E-4</v>
      </c>
      <c r="F10" s="42">
        <v>2.6046043539802873E-4</v>
      </c>
      <c r="G10" s="42">
        <v>2.4774233529054041E-4</v>
      </c>
      <c r="H10" s="42">
        <v>2.7312641214442075E-4</v>
      </c>
      <c r="I10" s="42">
        <v>2.6515153789669245E-4</v>
      </c>
      <c r="J10" s="42">
        <v>2.5952221489829598E-4</v>
      </c>
    </row>
    <row r="11" spans="1:10">
      <c r="A11" s="35" t="s">
        <v>89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</row>
    <row r="12" spans="1:10">
      <c r="A12" s="35" t="s">
        <v>90</v>
      </c>
      <c r="B12">
        <v>30</v>
      </c>
      <c r="C12">
        <v>30</v>
      </c>
      <c r="D12">
        <v>30</v>
      </c>
      <c r="E12">
        <v>30</v>
      </c>
      <c r="F12">
        <v>30</v>
      </c>
      <c r="G12">
        <v>30</v>
      </c>
      <c r="H12">
        <v>30</v>
      </c>
      <c r="I12">
        <v>30</v>
      </c>
      <c r="J12">
        <v>30</v>
      </c>
    </row>
    <row r="13" spans="1:10">
      <c r="A13" s="35" t="s">
        <v>91</v>
      </c>
      <c r="B13">
        <v>91</v>
      </c>
      <c r="C13">
        <v>76</v>
      </c>
      <c r="D13">
        <v>82</v>
      </c>
      <c r="E13">
        <v>77</v>
      </c>
      <c r="F13">
        <v>78</v>
      </c>
      <c r="G13">
        <v>81</v>
      </c>
      <c r="H13">
        <v>93</v>
      </c>
      <c r="I13">
        <v>93</v>
      </c>
      <c r="J13">
        <v>95</v>
      </c>
    </row>
    <row r="14" spans="1:10">
      <c r="A14" s="39" t="s">
        <v>92</v>
      </c>
      <c r="B14" s="39">
        <v>61</v>
      </c>
      <c r="C14" s="39">
        <v>46</v>
      </c>
      <c r="D14" s="39">
        <v>52</v>
      </c>
      <c r="E14" s="39">
        <v>47</v>
      </c>
      <c r="F14" s="39">
        <v>48</v>
      </c>
      <c r="G14" s="39">
        <v>51</v>
      </c>
      <c r="H14" s="39">
        <v>63</v>
      </c>
      <c r="I14" s="39">
        <v>63</v>
      </c>
      <c r="J14" s="39">
        <v>65</v>
      </c>
    </row>
    <row r="15" spans="1:10">
      <c r="A15" s="35" t="s">
        <v>93</v>
      </c>
      <c r="B15">
        <v>121</v>
      </c>
      <c r="C15">
        <v>106</v>
      </c>
      <c r="D15">
        <v>112</v>
      </c>
      <c r="E15">
        <v>107</v>
      </c>
      <c r="F15">
        <v>108</v>
      </c>
      <c r="G15">
        <v>111</v>
      </c>
      <c r="H15">
        <v>123</v>
      </c>
      <c r="I15">
        <v>123</v>
      </c>
      <c r="J15">
        <v>125</v>
      </c>
    </row>
    <row r="16" spans="1:10">
      <c r="A16" s="39" t="s">
        <v>94</v>
      </c>
      <c r="B16" s="39">
        <v>30</v>
      </c>
      <c r="C16" s="39">
        <v>30</v>
      </c>
      <c r="D16" s="39">
        <v>30</v>
      </c>
      <c r="E16" s="39">
        <v>30</v>
      </c>
      <c r="F16" s="39">
        <v>30</v>
      </c>
      <c r="G16" s="39">
        <v>30</v>
      </c>
      <c r="H16" s="39">
        <v>30</v>
      </c>
      <c r="I16" s="39">
        <v>30</v>
      </c>
      <c r="J16" s="39">
        <v>30</v>
      </c>
    </row>
    <row r="17" spans="1:10">
      <c r="A17" s="35" t="s">
        <v>95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</row>
    <row r="18" spans="1:10">
      <c r="A18" s="35" t="s">
        <v>96</v>
      </c>
      <c r="B18" s="43">
        <v>0.59529166666699995</v>
      </c>
      <c r="C18" s="43">
        <v>-0.62502083333299996</v>
      </c>
      <c r="D18" s="43">
        <v>-0.28719791666599997</v>
      </c>
      <c r="E18" s="43">
        <v>-0.28026041669399998</v>
      </c>
      <c r="F18" s="43">
        <v>0.77291666666899994</v>
      </c>
      <c r="G18" s="43">
        <v>1.6875000583200001E-3</v>
      </c>
      <c r="H18" s="43">
        <v>1.2698958333300001</v>
      </c>
      <c r="I18" s="43">
        <v>0.58064583333300002</v>
      </c>
      <c r="J18" s="43">
        <v>-0.59290624999999997</v>
      </c>
    </row>
    <row r="19" spans="1:10">
      <c r="A19" s="35" t="s">
        <v>97</v>
      </c>
      <c r="B19" s="43">
        <v>344.27204375000002</v>
      </c>
      <c r="C19" s="43">
        <v>341.67307291700001</v>
      </c>
      <c r="D19" s="43">
        <v>330.78218125000001</v>
      </c>
      <c r="E19" s="43">
        <v>348.43923541700002</v>
      </c>
      <c r="F19" s="43">
        <v>340.10651250000001</v>
      </c>
      <c r="G19" s="43">
        <v>328.02590208300001</v>
      </c>
      <c r="H19" s="43">
        <v>372.42672916700002</v>
      </c>
      <c r="I19" s="43">
        <v>357.44729374999997</v>
      </c>
      <c r="J19" s="43">
        <v>353.05630208299999</v>
      </c>
    </row>
    <row r="20" spans="1:10">
      <c r="A20" s="35" t="s">
        <v>98</v>
      </c>
      <c r="B20" s="43">
        <v>346.85852291700002</v>
      </c>
      <c r="C20" s="43">
        <v>340.84381250000001</v>
      </c>
      <c r="D20" s="43">
        <v>329.68575416700003</v>
      </c>
      <c r="E20" s="43">
        <v>344.32143333300002</v>
      </c>
      <c r="F20" s="43">
        <v>338.65797083299998</v>
      </c>
      <c r="G20" s="43">
        <v>336.32123541700003</v>
      </c>
      <c r="H20" s="43">
        <v>373.22389583299997</v>
      </c>
      <c r="I20" s="43">
        <v>358.60903333300001</v>
      </c>
      <c r="J20" s="43">
        <v>356.24364583300002</v>
      </c>
    </row>
    <row r="21" spans="1:10">
      <c r="A21" s="39" t="s">
        <v>99</v>
      </c>
      <c r="B21" s="44">
        <v>5.3029513894449883E-2</v>
      </c>
      <c r="C21" s="44">
        <v>-2.423802083888334E-2</v>
      </c>
      <c r="D21" s="44">
        <v>-2.3060416661099675E-2</v>
      </c>
      <c r="E21" s="44">
        <v>-7.3301041678233411E-2</v>
      </c>
      <c r="F21" s="44">
        <v>-1.126041667218382E-2</v>
      </c>
      <c r="G21" s="44">
        <v>0.13828368056763898</v>
      </c>
      <c r="H21" s="44">
        <v>3.4451041655499212E-2</v>
      </c>
      <c r="I21" s="44">
        <v>2.9039756938884033E-2</v>
      </c>
      <c r="J21" s="44">
        <v>4.3240625000000421E-2</v>
      </c>
    </row>
    <row r="22" spans="1:10">
      <c r="A22" s="39" t="s">
        <v>100</v>
      </c>
      <c r="B22" s="44">
        <v>3.8300920142284425</v>
      </c>
      <c r="C22" s="44">
        <v>-1.7399697919216335</v>
      </c>
      <c r="D22" s="44">
        <v>-1.4863395830431831</v>
      </c>
      <c r="E22" s="44">
        <v>-3.7254093755709703</v>
      </c>
      <c r="F22" s="44">
        <v>0.23241666640417658</v>
      </c>
      <c r="G22" s="44">
        <v>7.0541552090079076</v>
      </c>
      <c r="H22" s="44">
        <v>3.4403114576264504</v>
      </c>
      <c r="I22" s="44">
        <v>2.4101505204826941</v>
      </c>
      <c r="J22" s="44">
        <v>2.2177343750000276</v>
      </c>
    </row>
    <row r="23" spans="1:10">
      <c r="A23" s="39" t="s">
        <v>101</v>
      </c>
      <c r="B23" s="44">
        <v>1.1250352651018478</v>
      </c>
      <c r="C23" s="44">
        <v>-0.50666968796419287</v>
      </c>
      <c r="D23" s="44">
        <v>-0.44733084534060708</v>
      </c>
      <c r="E23" s="44">
        <v>-1.0578601318043379</v>
      </c>
      <c r="F23" s="44">
        <v>6.8383165782063313E-2</v>
      </c>
      <c r="G23" s="44">
        <v>2.1977495769362045</v>
      </c>
      <c r="H23" s="44">
        <v>0.9323680473074103</v>
      </c>
      <c r="I23" s="44">
        <v>0.67884461286480902</v>
      </c>
      <c r="J23" s="44">
        <v>0.6321238823565799</v>
      </c>
    </row>
    <row r="24" spans="1:10">
      <c r="A24" s="39" t="s">
        <v>102</v>
      </c>
      <c r="B24" s="44">
        <v>340.44195173577157</v>
      </c>
      <c r="C24" s="44">
        <v>343.41304270892164</v>
      </c>
      <c r="D24" s="44">
        <v>332.26852083304317</v>
      </c>
      <c r="E24" s="44">
        <v>352.16464479257098</v>
      </c>
      <c r="F24" s="44">
        <v>339.87409583359585</v>
      </c>
      <c r="G24" s="44">
        <v>320.97174687399212</v>
      </c>
      <c r="H24" s="44">
        <v>368.98641770937354</v>
      </c>
      <c r="I24" s="44">
        <v>355.03714322951726</v>
      </c>
      <c r="J24" s="44">
        <v>350.83856770799997</v>
      </c>
    </row>
    <row r="25" spans="1:10">
      <c r="A25" s="36"/>
    </row>
    <row r="26" spans="1:10">
      <c r="A26" s="36" t="s">
        <v>103</v>
      </c>
      <c r="B26" s="38">
        <v>1.2613477390834001E-3</v>
      </c>
      <c r="C26" s="38">
        <v>1.2613477390834001E-3</v>
      </c>
      <c r="D26" s="38">
        <v>1.2613477390834001E-3</v>
      </c>
      <c r="E26" s="38">
        <v>1.2613477390834001E-3</v>
      </c>
      <c r="F26" s="38">
        <v>1.2613477390834001E-3</v>
      </c>
      <c r="G26" s="38">
        <v>1.2613477390834001E-3</v>
      </c>
      <c r="H26" s="38">
        <v>1.2613477390834001E-3</v>
      </c>
      <c r="I26" s="38">
        <v>1.2613477390834001E-3</v>
      </c>
      <c r="J26" s="38">
        <v>1.2613477390834001E-3</v>
      </c>
    </row>
    <row r="27" spans="1:10">
      <c r="A27" s="39" t="s">
        <v>104</v>
      </c>
      <c r="B27" s="44">
        <v>0.42941568611105546</v>
      </c>
      <c r="C27" s="44">
        <v>0.4331632649926494</v>
      </c>
      <c r="D27" s="44">
        <v>0.41910614752134462</v>
      </c>
      <c r="E27" s="44">
        <v>0.44420207849421811</v>
      </c>
      <c r="F27" s="44">
        <v>0.42869942235272096</v>
      </c>
      <c r="G27" s="44">
        <v>0.40485698722915936</v>
      </c>
      <c r="H27" s="44">
        <v>0.46542018373020139</v>
      </c>
      <c r="I27" s="44">
        <v>0.44782529790318087</v>
      </c>
      <c r="J27" s="44">
        <v>0.44252943416174412</v>
      </c>
    </row>
    <row r="28" spans="1:10">
      <c r="A28" s="44" t="s">
        <v>105</v>
      </c>
      <c r="B28" s="44">
        <v>4.3639805499091001E-2</v>
      </c>
      <c r="C28" s="44">
        <v>4.2802694169234136E-2</v>
      </c>
      <c r="D28" s="44">
        <v>4.3757167208325815E-2</v>
      </c>
      <c r="E28" s="44">
        <v>4.2523652928797444E-2</v>
      </c>
      <c r="F28" s="44">
        <v>4.2895679643057932E-2</v>
      </c>
      <c r="G28" s="44">
        <v>4.2589626260168247E-2</v>
      </c>
      <c r="H28" s="44">
        <v>4.4410322875019212E-2</v>
      </c>
      <c r="I28" s="44">
        <v>4.4016640249968639E-2</v>
      </c>
      <c r="J28" s="44">
        <v>4.4439589692884529E-2</v>
      </c>
    </row>
    <row r="29" spans="1:10">
      <c r="A29" s="44" t="s">
        <v>106</v>
      </c>
      <c r="B29" s="44">
        <v>52.894217429071887</v>
      </c>
      <c r="C29" s="44">
        <v>51.879585301650721</v>
      </c>
      <c r="D29" s="44">
        <v>53.036467278609898</v>
      </c>
      <c r="E29" s="44">
        <v>51.541369586100757</v>
      </c>
      <c r="F29" s="44">
        <v>51.992289604842071</v>
      </c>
      <c r="G29" s="44">
        <v>51.621333456107465</v>
      </c>
      <c r="H29" s="44">
        <v>53.828133452507728</v>
      </c>
      <c r="I29" s="44">
        <v>53.350965093727886</v>
      </c>
      <c r="J29" s="44">
        <v>53.86360669556921</v>
      </c>
    </row>
    <row r="31" spans="1:10">
      <c r="B31" s="43">
        <f>AVERAGE(B29:J29)</f>
        <v>52.667551988687514</v>
      </c>
    </row>
    <row r="32" spans="1:10">
      <c r="B32">
        <f>2*STDEV(B29:J29)/SQRT(B33)</f>
        <v>0.61787072496722406</v>
      </c>
    </row>
    <row r="33" spans="2:2">
      <c r="B33">
        <v>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E2DF3-530E-42AF-A705-80329C8B89AF}">
  <dimension ref="A1:K39"/>
  <sheetViews>
    <sheetView zoomScale="175" zoomScaleNormal="175" workbookViewId="0"/>
  </sheetViews>
  <sheetFormatPr defaultRowHeight="14.25"/>
  <cols>
    <col min="1" max="1" width="30.25" customWidth="1"/>
  </cols>
  <sheetData>
    <row r="1" spans="1:11" ht="15">
      <c r="A1" s="46"/>
      <c r="B1" s="46" t="s">
        <v>113</v>
      </c>
      <c r="C1" s="46"/>
      <c r="D1" s="46"/>
      <c r="E1" s="46" t="s">
        <v>107</v>
      </c>
      <c r="H1" s="46" t="s">
        <v>114</v>
      </c>
      <c r="I1" s="46"/>
    </row>
    <row r="2" spans="1:11" ht="15">
      <c r="A2" s="46" t="s">
        <v>115</v>
      </c>
      <c r="B2" s="47">
        <v>-149.67553775409601</v>
      </c>
      <c r="C2" s="47">
        <v>0.59874482778567706</v>
      </c>
      <c r="D2" s="46">
        <v>9</v>
      </c>
      <c r="E2" s="46">
        <v>1</v>
      </c>
      <c r="H2" s="46">
        <v>-601.6</v>
      </c>
      <c r="I2" s="46">
        <v>0.30000000000000004</v>
      </c>
      <c r="J2" s="46">
        <v>13</v>
      </c>
    </row>
    <row r="3" spans="1:11" ht="19.5">
      <c r="A3" s="48" t="s">
        <v>116</v>
      </c>
      <c r="B3" s="47">
        <v>-46.622247084897701</v>
      </c>
      <c r="C3" s="47">
        <v>0.12722240761553402</v>
      </c>
      <c r="D3" s="49">
        <v>12</v>
      </c>
      <c r="E3" s="46">
        <v>2</v>
      </c>
    </row>
    <row r="4" spans="1:11" ht="15">
      <c r="A4" s="48" t="s">
        <v>117</v>
      </c>
      <c r="B4" s="47">
        <v>-47.947407084897705</v>
      </c>
      <c r="C4" s="47">
        <v>0.12722240761553402</v>
      </c>
      <c r="D4" s="49"/>
      <c r="E4" s="46">
        <v>3</v>
      </c>
      <c r="H4" s="46">
        <v>-549.4</v>
      </c>
      <c r="I4" s="46">
        <v>1.4</v>
      </c>
      <c r="J4" s="46">
        <v>14</v>
      </c>
    </row>
    <row r="5" spans="1:11" ht="19.5">
      <c r="A5" s="50" t="s">
        <v>118</v>
      </c>
      <c r="B5" s="47">
        <v>-53.496122087619703</v>
      </c>
      <c r="C5" s="47">
        <v>0.47953307096115205</v>
      </c>
      <c r="D5" s="46">
        <v>7</v>
      </c>
      <c r="E5" s="46">
        <v>4</v>
      </c>
      <c r="H5" s="51">
        <v>-1288.6400000000001</v>
      </c>
      <c r="I5" s="51">
        <v>1.28</v>
      </c>
      <c r="J5">
        <v>15</v>
      </c>
      <c r="K5" t="s">
        <v>119</v>
      </c>
    </row>
    <row r="6" spans="1:11" ht="19.5">
      <c r="A6" s="48" t="s">
        <v>120</v>
      </c>
      <c r="B6" s="46">
        <v>-0.54</v>
      </c>
      <c r="C6" s="46"/>
      <c r="D6" s="46"/>
      <c r="E6" s="46">
        <v>5</v>
      </c>
      <c r="H6" s="46">
        <v>-285.83</v>
      </c>
      <c r="I6" s="46">
        <v>0.04</v>
      </c>
      <c r="J6" s="46">
        <v>16</v>
      </c>
    </row>
    <row r="7" spans="1:11" ht="15">
      <c r="A7" s="46" t="s">
        <v>121</v>
      </c>
      <c r="B7" s="47">
        <f>0.4*0.162*21.8</f>
        <v>1.4126400000000003</v>
      </c>
      <c r="C7" s="47">
        <f>0.4*0.162*2.6</f>
        <v>0.16848000000000005</v>
      </c>
      <c r="D7" s="46"/>
      <c r="E7" s="46">
        <v>6</v>
      </c>
      <c r="H7" s="46"/>
      <c r="I7" s="46"/>
    </row>
    <row r="8" spans="1:11" ht="19.5">
      <c r="A8" s="46" t="s">
        <v>122</v>
      </c>
      <c r="B8" s="47">
        <v>85.335209112785705</v>
      </c>
      <c r="C8" s="47">
        <v>0.23875134993571101</v>
      </c>
      <c r="D8" s="46"/>
      <c r="E8" s="46">
        <v>7</v>
      </c>
      <c r="H8" s="52">
        <v>-6062.4486399999996</v>
      </c>
      <c r="I8" s="52">
        <v>2</v>
      </c>
      <c r="J8" s="46">
        <v>17</v>
      </c>
    </row>
    <row r="9" spans="1:11" ht="19.5">
      <c r="A9" s="46" t="s">
        <v>123</v>
      </c>
      <c r="B9" s="47">
        <v>37.387597378679502</v>
      </c>
      <c r="C9" s="47">
        <v>0.19124553672274902</v>
      </c>
      <c r="D9" s="46"/>
      <c r="E9" s="46">
        <v>8</v>
      </c>
      <c r="H9" s="46">
        <v>-1437.7</v>
      </c>
      <c r="I9" s="46">
        <v>0.5</v>
      </c>
      <c r="J9" s="46">
        <v>18</v>
      </c>
    </row>
    <row r="10" spans="1:11" ht="18.75">
      <c r="A10" t="s">
        <v>124</v>
      </c>
      <c r="B10">
        <f>H!B31</f>
        <v>52.667551988687514</v>
      </c>
      <c r="C10">
        <f>H!B32</f>
        <v>0.61787072496722406</v>
      </c>
      <c r="E10" s="46">
        <v>11</v>
      </c>
    </row>
    <row r="12" spans="1:11" ht="15">
      <c r="A12" s="46" t="s">
        <v>131</v>
      </c>
    </row>
    <row r="13" spans="1:11" ht="15">
      <c r="A13" s="46" t="s">
        <v>136</v>
      </c>
      <c r="G13">
        <f>(4*B4)+((2/3)*B8)+(5*B5)+(11*B6)-B10-((1/3)*B9)-(5*B2)</f>
        <v>274.92750495306717</v>
      </c>
      <c r="H13">
        <f>SQRT((4*C4)^2+((2/3)^2*C8)^2+(5*C5)^2+(11*C6)^2+C10+((1/3)^2*C9)^2+(5*C2)^2)</f>
        <v>3.949649856791102</v>
      </c>
    </row>
    <row r="14" spans="1:11" ht="15">
      <c r="A14" s="46" t="s">
        <v>135</v>
      </c>
    </row>
    <row r="15" spans="1:11" ht="15">
      <c r="A15" s="46" t="s">
        <v>137</v>
      </c>
    </row>
    <row r="16" spans="1:11">
      <c r="G16">
        <f>(4*B4)+((2/3)*B8)+(5*B5)+(11*B6)-B10-((1/3)*B9)-(5*B2)+(4*H4)+((2/3)*H8)+(5*H5)+(11*H6)-((1/3)*H9)-(5*H2)</f>
        <v>-12064.401588380266</v>
      </c>
      <c r="H16">
        <f>SQRT((4*C4)^2+((2/3)^2*C8)^2+(5*C5)^2+(11*C6)^2+C10+((1/3)^2*C9)^2+(5*C2)^2+(4*I4)^2+((2/3)^2*I8)^2+(5*I5)^2+(11*I6)^2+((1/3)^2*I9)^2+(5*I2)^2)</f>
        <v>9.5475936166027289</v>
      </c>
    </row>
    <row r="18" spans="1:9">
      <c r="A18" t="s">
        <v>132</v>
      </c>
    </row>
    <row r="19" spans="1:9" ht="15">
      <c r="A19" s="46" t="s">
        <v>131</v>
      </c>
    </row>
    <row r="20" spans="1:9">
      <c r="B20" s="45"/>
      <c r="C20" s="45" t="s">
        <v>127</v>
      </c>
      <c r="D20" s="45" t="s">
        <v>128</v>
      </c>
      <c r="E20" s="45" t="s">
        <v>129</v>
      </c>
      <c r="F20" s="45" t="s">
        <v>70</v>
      </c>
      <c r="G20" s="45" t="s">
        <v>18</v>
      </c>
      <c r="H20" s="45" t="s">
        <v>130</v>
      </c>
      <c r="I20" s="45" t="s">
        <v>59</v>
      </c>
    </row>
    <row r="21" spans="1:9">
      <c r="A21" t="s">
        <v>117</v>
      </c>
      <c r="B21" s="45">
        <v>-4</v>
      </c>
      <c r="C21" s="45">
        <f>B21</f>
        <v>-4</v>
      </c>
      <c r="D21" s="45">
        <v>0</v>
      </c>
      <c r="E21" s="45">
        <v>0</v>
      </c>
      <c r="F21" s="45">
        <v>0</v>
      </c>
      <c r="G21" s="45">
        <v>0</v>
      </c>
      <c r="H21" s="45">
        <f>2*B21</f>
        <v>-8</v>
      </c>
      <c r="I21" s="45">
        <f>B21</f>
        <v>-4</v>
      </c>
    </row>
    <row r="22" spans="1:9" ht="19.5">
      <c r="A22" s="46" t="s">
        <v>122</v>
      </c>
      <c r="B22" s="45">
        <f>-2/3</f>
        <v>-0.66666666666666663</v>
      </c>
      <c r="C22" s="45">
        <v>0</v>
      </c>
      <c r="D22" s="45">
        <v>0</v>
      </c>
      <c r="E22" s="45">
        <f>B22</f>
        <v>-0.66666666666666663</v>
      </c>
      <c r="F22" s="45">
        <f>B22</f>
        <v>-0.66666666666666663</v>
      </c>
      <c r="G22" s="45">
        <f>2*B22</f>
        <v>-1.3333333333333333</v>
      </c>
      <c r="H22" s="45">
        <f>B22*(8+12)</f>
        <v>-13.333333333333332</v>
      </c>
      <c r="I22" s="45">
        <f>24*B22</f>
        <v>-16</v>
      </c>
    </row>
    <row r="23" spans="1:9" ht="19.5">
      <c r="A23" s="46" t="s">
        <v>123</v>
      </c>
      <c r="B23" s="45">
        <f>1/3</f>
        <v>0.33333333333333331</v>
      </c>
      <c r="C23" s="45">
        <v>0</v>
      </c>
      <c r="D23" s="45">
        <v>0</v>
      </c>
      <c r="E23" s="45">
        <v>0</v>
      </c>
      <c r="F23" s="45">
        <f>2*B23</f>
        <v>0.66666666666666663</v>
      </c>
      <c r="G23" s="45">
        <f>B23</f>
        <v>0.33333333333333331</v>
      </c>
      <c r="H23" s="45">
        <f>4*B23</f>
        <v>1.3333333333333333</v>
      </c>
      <c r="I23" s="45">
        <v>0</v>
      </c>
    </row>
    <row r="24" spans="1:9">
      <c r="A24" t="s">
        <v>125</v>
      </c>
      <c r="B24" s="45">
        <v>-5</v>
      </c>
      <c r="C24" s="45">
        <v>0</v>
      </c>
      <c r="D24" s="45">
        <f>B24</f>
        <v>-5</v>
      </c>
      <c r="E24" s="45">
        <v>0</v>
      </c>
      <c r="F24" s="45">
        <v>0</v>
      </c>
      <c r="G24" s="45">
        <f>B24</f>
        <v>-5</v>
      </c>
      <c r="H24" s="45">
        <f t="shared" ref="H24" si="0">4*B24</f>
        <v>-20</v>
      </c>
      <c r="I24" s="45">
        <v>0</v>
      </c>
    </row>
    <row r="25" spans="1:9">
      <c r="A25" t="s">
        <v>115</v>
      </c>
      <c r="B25" s="45">
        <v>5</v>
      </c>
      <c r="C25" s="45">
        <v>0</v>
      </c>
      <c r="D25" s="45">
        <f>B25</f>
        <v>5</v>
      </c>
      <c r="E25" s="45">
        <v>0</v>
      </c>
      <c r="F25" s="45">
        <v>0</v>
      </c>
      <c r="G25" s="45">
        <v>0</v>
      </c>
      <c r="H25" s="45">
        <f>B25</f>
        <v>5</v>
      </c>
      <c r="I25" s="45">
        <v>0</v>
      </c>
    </row>
    <row r="26" spans="1:9">
      <c r="A26" t="s">
        <v>126</v>
      </c>
      <c r="B26" s="45">
        <v>-11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f t="shared" ref="H26" si="1">B26</f>
        <v>-11</v>
      </c>
      <c r="I26" s="45">
        <f>2*B26</f>
        <v>-22</v>
      </c>
    </row>
    <row r="27" spans="1:9" ht="18.75">
      <c r="A27" t="s">
        <v>124</v>
      </c>
      <c r="B27" s="45">
        <v>1</v>
      </c>
      <c r="C27" s="45">
        <f>4*B27</f>
        <v>4</v>
      </c>
      <c r="D27" s="45">
        <v>0</v>
      </c>
      <c r="E27" s="45">
        <f>B27*2/3</f>
        <v>0.66666666666666663</v>
      </c>
      <c r="F27" s="45">
        <v>0</v>
      </c>
      <c r="G27" s="45">
        <f>6*B27</f>
        <v>6</v>
      </c>
      <c r="H27" s="45">
        <f>B27*(24+2+20)</f>
        <v>46</v>
      </c>
      <c r="I27" s="45">
        <f>B27*(2+40)</f>
        <v>42</v>
      </c>
    </row>
    <row r="28" spans="1:9">
      <c r="B28" s="45"/>
      <c r="C28" s="45">
        <f>SUM(C21:C27)</f>
        <v>0</v>
      </c>
      <c r="D28" s="45">
        <f t="shared" ref="D28:I28" si="2">SUM(D21:D27)</f>
        <v>0</v>
      </c>
      <c r="E28" s="45">
        <f t="shared" si="2"/>
        <v>0</v>
      </c>
      <c r="F28" s="45">
        <f t="shared" si="2"/>
        <v>0</v>
      </c>
      <c r="G28" s="45">
        <f t="shared" si="2"/>
        <v>0</v>
      </c>
      <c r="H28" s="45">
        <f t="shared" si="2"/>
        <v>0</v>
      </c>
      <c r="I28" s="45">
        <f t="shared" si="2"/>
        <v>0</v>
      </c>
    </row>
    <row r="30" spans="1:9">
      <c r="A30" t="s">
        <v>132</v>
      </c>
    </row>
    <row r="31" spans="1:9" ht="15">
      <c r="A31" s="46" t="s">
        <v>135</v>
      </c>
    </row>
    <row r="32" spans="1:9">
      <c r="B32" s="45"/>
      <c r="C32" s="45" t="s">
        <v>127</v>
      </c>
      <c r="D32" s="45" t="s">
        <v>129</v>
      </c>
      <c r="E32" s="45" t="s">
        <v>18</v>
      </c>
      <c r="F32" s="45" t="s">
        <v>130</v>
      </c>
      <c r="G32" s="45" t="s">
        <v>59</v>
      </c>
    </row>
    <row r="33" spans="1:7">
      <c r="A33" t="s">
        <v>127</v>
      </c>
      <c r="B33" s="45">
        <v>-4</v>
      </c>
      <c r="C33" s="45">
        <f>B33</f>
        <v>-4</v>
      </c>
      <c r="D33" s="45">
        <v>0</v>
      </c>
      <c r="E33" s="45">
        <v>0</v>
      </c>
      <c r="F33" s="45">
        <v>0</v>
      </c>
      <c r="G33" s="45">
        <v>0</v>
      </c>
    </row>
    <row r="34" spans="1:7" ht="15">
      <c r="A34" s="46" t="s">
        <v>129</v>
      </c>
      <c r="B34" s="45">
        <f>-(2/3)</f>
        <v>-0.66666666666666663</v>
      </c>
      <c r="C34" s="45">
        <v>0</v>
      </c>
      <c r="D34" s="45">
        <f>B34</f>
        <v>-0.66666666666666663</v>
      </c>
      <c r="E34" s="45">
        <v>0</v>
      </c>
      <c r="F34" s="45">
        <v>0</v>
      </c>
      <c r="G34" s="45">
        <v>0</v>
      </c>
    </row>
    <row r="35" spans="1:7" ht="15">
      <c r="A35" s="46" t="s">
        <v>18</v>
      </c>
      <c r="B35" s="45">
        <v>-6</v>
      </c>
      <c r="C35" s="45">
        <v>0</v>
      </c>
      <c r="D35" s="45">
        <v>0</v>
      </c>
      <c r="E35" s="45">
        <f>B35</f>
        <v>-6</v>
      </c>
      <c r="F35" s="45">
        <v>0</v>
      </c>
      <c r="G35" s="45">
        <v>0</v>
      </c>
    </row>
    <row r="36" spans="1:7">
      <c r="A36" t="s">
        <v>133</v>
      </c>
      <c r="B36" s="45">
        <v>-23</v>
      </c>
      <c r="C36" s="45">
        <v>0</v>
      </c>
      <c r="D36" s="45">
        <v>0</v>
      </c>
      <c r="E36" s="45">
        <v>0</v>
      </c>
      <c r="F36" s="45">
        <f>2*B36</f>
        <v>-46</v>
      </c>
      <c r="G36" s="45">
        <v>0</v>
      </c>
    </row>
    <row r="37" spans="1:7">
      <c r="A37" t="s">
        <v>134</v>
      </c>
      <c r="B37" s="45">
        <v>-21</v>
      </c>
      <c r="C37" s="45">
        <v>0</v>
      </c>
      <c r="D37" s="45">
        <v>0</v>
      </c>
      <c r="E37" s="45">
        <v>0</v>
      </c>
      <c r="F37" s="45">
        <v>0</v>
      </c>
      <c r="G37" s="45">
        <f>2*B37</f>
        <v>-42</v>
      </c>
    </row>
    <row r="38" spans="1:7" ht="18.75">
      <c r="A38" t="s">
        <v>124</v>
      </c>
      <c r="B38" s="45">
        <v>1</v>
      </c>
      <c r="C38" s="45">
        <f>4*B38</f>
        <v>4</v>
      </c>
      <c r="D38" s="45">
        <f>B38*2/3</f>
        <v>0.66666666666666663</v>
      </c>
      <c r="E38" s="45">
        <f>6*B38</f>
        <v>6</v>
      </c>
      <c r="F38" s="45">
        <f>B38*(24+2+20)</f>
        <v>46</v>
      </c>
      <c r="G38" s="45">
        <f>B38*(2+40)</f>
        <v>42</v>
      </c>
    </row>
    <row r="39" spans="1:7">
      <c r="B39" s="45"/>
      <c r="C39" s="45">
        <f>SUM(C33:C38)</f>
        <v>0</v>
      </c>
      <c r="D39" s="45">
        <f>SUM(D33:D38)</f>
        <v>0</v>
      </c>
      <c r="E39" s="45">
        <f>SUM(E33:E38)</f>
        <v>0</v>
      </c>
      <c r="F39" s="45">
        <f>SUM(F33:F38)</f>
        <v>0</v>
      </c>
      <c r="G39" s="45">
        <f>SUM(G33:G38)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816E4-9EC2-4117-94E1-18821F728031}">
  <dimension ref="A1:E5"/>
  <sheetViews>
    <sheetView workbookViewId="0">
      <selection activeCell="B5" sqref="B5"/>
    </sheetView>
  </sheetViews>
  <sheetFormatPr defaultRowHeight="14.25"/>
  <cols>
    <col min="1" max="1" width="43.625" customWidth="1"/>
  </cols>
  <sheetData>
    <row r="1" spans="1:5">
      <c r="B1" s="45"/>
      <c r="C1" s="45"/>
      <c r="D1" s="45" t="s">
        <v>107</v>
      </c>
      <c r="E1" s="45"/>
    </row>
    <row r="2" spans="1:5">
      <c r="A2" t="s">
        <v>108</v>
      </c>
      <c r="B2" s="45">
        <v>-46.622247084897701</v>
      </c>
      <c r="C2" s="45">
        <v>0.12722240761553402</v>
      </c>
      <c r="D2" s="45">
        <v>2</v>
      </c>
      <c r="E2" s="45">
        <v>1</v>
      </c>
    </row>
    <row r="3" spans="1:5">
      <c r="A3" t="s">
        <v>109</v>
      </c>
      <c r="B3" s="63">
        <f>cycle!B7</f>
        <v>1.4126400000000003</v>
      </c>
      <c r="C3" s="45"/>
      <c r="D3" s="45" t="s">
        <v>110</v>
      </c>
      <c r="E3" s="45">
        <v>-1</v>
      </c>
    </row>
    <row r="4" spans="1:5">
      <c r="A4" t="s">
        <v>111</v>
      </c>
      <c r="B4" s="45">
        <v>-0.54</v>
      </c>
      <c r="C4" s="45"/>
      <c r="D4" s="45">
        <v>5</v>
      </c>
      <c r="E4" s="45">
        <v>-0.16200000000000001</v>
      </c>
    </row>
    <row r="5" spans="1:5">
      <c r="A5" t="s">
        <v>112</v>
      </c>
      <c r="B5">
        <f>(B2*E2)+(B3*E3)+(B4*E4)</f>
        <v>-47.947407084897705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2C1C2-05B5-46A5-BE8E-9B389D0C79FB}">
  <dimension ref="A1:O20"/>
  <sheetViews>
    <sheetView tabSelected="1" zoomScale="160" zoomScaleNormal="160" workbookViewId="0"/>
  </sheetViews>
  <sheetFormatPr defaultRowHeight="14.25"/>
  <sheetData>
    <row r="1" spans="1:1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6.5">
      <c r="A2" s="53"/>
      <c r="B2" s="46" t="s">
        <v>135</v>
      </c>
      <c r="K2" t="s">
        <v>138</v>
      </c>
      <c r="O2" s="53"/>
    </row>
    <row r="3" spans="1:15">
      <c r="A3" s="53"/>
      <c r="B3" s="54"/>
      <c r="C3" s="55"/>
      <c r="D3" s="54"/>
      <c r="E3" s="55"/>
      <c r="F3" s="54"/>
      <c r="G3" s="55"/>
      <c r="H3" s="54"/>
      <c r="I3" s="55"/>
      <c r="K3" s="56" t="s">
        <v>128</v>
      </c>
      <c r="L3">
        <v>32.67</v>
      </c>
      <c r="M3">
        <v>0.1</v>
      </c>
      <c r="N3" t="s">
        <v>139</v>
      </c>
      <c r="O3" s="53"/>
    </row>
    <row r="4" spans="1:15">
      <c r="A4" s="53"/>
      <c r="G4" t="s">
        <v>160</v>
      </c>
      <c r="K4" s="56" t="s">
        <v>129</v>
      </c>
      <c r="L4">
        <v>28.3</v>
      </c>
      <c r="M4">
        <v>0.08</v>
      </c>
      <c r="N4" t="s">
        <v>139</v>
      </c>
      <c r="O4" s="53"/>
    </row>
    <row r="5" spans="1:15">
      <c r="A5" s="53"/>
      <c r="B5" t="s">
        <v>140</v>
      </c>
      <c r="E5">
        <f>cycle!G16</f>
        <v>-12064.401588380266</v>
      </c>
      <c r="F5">
        <f>cycle!H16</f>
        <v>9.5475936166027289</v>
      </c>
      <c r="G5">
        <v>-11952</v>
      </c>
      <c r="H5" s="62" t="s">
        <v>161</v>
      </c>
      <c r="I5">
        <f>G5-E5</f>
        <v>112.40158838026582</v>
      </c>
      <c r="K5" s="56" t="s">
        <v>127</v>
      </c>
      <c r="L5">
        <v>27.09</v>
      </c>
      <c r="M5">
        <v>0.13</v>
      </c>
      <c r="N5" t="s">
        <v>139</v>
      </c>
      <c r="O5" s="53"/>
    </row>
    <row r="6" spans="1:15">
      <c r="A6" s="53"/>
      <c r="B6" t="s">
        <v>141</v>
      </c>
      <c r="E6">
        <f>'S-6 sigdig'!E52</f>
        <v>1453.22</v>
      </c>
      <c r="F6">
        <f>0.012*E6</f>
        <v>17.438639999999999</v>
      </c>
      <c r="G6">
        <v>1361.6</v>
      </c>
      <c r="I6">
        <f>100*(E6-G6)/E6</f>
        <v>6.3046200850525116</v>
      </c>
      <c r="K6" t="s">
        <v>18</v>
      </c>
      <c r="L6">
        <v>32.049999999999997</v>
      </c>
      <c r="M6">
        <v>0.05</v>
      </c>
      <c r="N6" t="s">
        <v>139</v>
      </c>
      <c r="O6" s="53"/>
    </row>
    <row r="7" spans="1:15" ht="18.75">
      <c r="A7" s="53"/>
      <c r="B7" t="s">
        <v>142</v>
      </c>
      <c r="E7">
        <f>E6-((2/3)*L4)-(4*L5)-(6*L6)-(23*L7)-(21*L8)</f>
        <v>-6329.0366666666669</v>
      </c>
      <c r="F7">
        <f>SQRT(F6^2+((2/3)*M4)^2+(4*M5)^2+(6*M6)^2+(23*M7)^2+(21*M8)^2)</f>
        <v>17.460166365016239</v>
      </c>
      <c r="K7" t="s">
        <v>143</v>
      </c>
      <c r="L7">
        <v>205.15</v>
      </c>
      <c r="M7">
        <v>0.02</v>
      </c>
      <c r="N7" t="s">
        <v>139</v>
      </c>
      <c r="O7" s="53"/>
    </row>
    <row r="8" spans="1:15" ht="18.75">
      <c r="A8" s="53"/>
      <c r="B8" t="s">
        <v>144</v>
      </c>
      <c r="E8">
        <f>E5-(298.15*E7/1000)</f>
        <v>-10177.3993062136</v>
      </c>
      <c r="F8">
        <f>SQRT(F5^2+(298.15*F7/1000)^2)</f>
        <v>10.874574123716421</v>
      </c>
      <c r="K8" t="s">
        <v>145</v>
      </c>
      <c r="L8">
        <v>130.68</v>
      </c>
      <c r="M8">
        <v>0.02</v>
      </c>
      <c r="N8" t="s">
        <v>139</v>
      </c>
      <c r="O8" s="53"/>
    </row>
    <row r="9" spans="1:15">
      <c r="A9" s="53"/>
      <c r="O9" s="53"/>
    </row>
    <row r="10" spans="1:1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1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1:15" ht="15">
      <c r="A12" s="57"/>
      <c r="B12" s="46" t="s">
        <v>159</v>
      </c>
      <c r="O12" s="57"/>
    </row>
    <row r="13" spans="1:15" ht="18.75">
      <c r="A13" s="57"/>
      <c r="I13" s="58" t="s">
        <v>146</v>
      </c>
      <c r="K13" s="58" t="s">
        <v>147</v>
      </c>
      <c r="O13" s="57"/>
    </row>
    <row r="14" spans="1:15" ht="18.75">
      <c r="A14" s="57"/>
      <c r="B14" s="58" t="s">
        <v>148</v>
      </c>
      <c r="C14">
        <f>((2/3)*I19)+(4*I14)+(6*I16)+(22*I17)-E8</f>
        <v>103.71997288026614</v>
      </c>
      <c r="D14">
        <f>SQRT(((2/3)*J19)^2+(4*J14)^2+(6*J16)^2+(22*J17)^2+F8^2)</f>
        <v>11.707781122682778</v>
      </c>
      <c r="H14" t="s">
        <v>149</v>
      </c>
      <c r="I14">
        <v>-16.225999999999999</v>
      </c>
      <c r="J14">
        <v>0.65</v>
      </c>
      <c r="K14">
        <v>-50.055999999999997</v>
      </c>
      <c r="L14">
        <v>0.97299999999999998</v>
      </c>
      <c r="M14" t="s">
        <v>150</v>
      </c>
      <c r="O14" s="57"/>
    </row>
    <row r="15" spans="1:15" ht="16.5">
      <c r="A15" s="57"/>
      <c r="B15" t="s">
        <v>151</v>
      </c>
      <c r="C15">
        <f>(-C14*1000)/(8.314*298.15)</f>
        <v>-41.842493823073312</v>
      </c>
      <c r="D15">
        <f>(D14*1000)/(8.314*298.15)</f>
        <v>4.7231284940005418</v>
      </c>
      <c r="H15" t="s">
        <v>152</v>
      </c>
      <c r="I15">
        <v>-90.718999999999994</v>
      </c>
      <c r="J15">
        <v>0.64100000000000001</v>
      </c>
      <c r="K15">
        <v>-90.295000000000002</v>
      </c>
      <c r="L15">
        <v>0.52200000000000002</v>
      </c>
      <c r="M15" t="s">
        <v>150</v>
      </c>
      <c r="O15" s="57"/>
    </row>
    <row r="16" spans="1:15" ht="18.75">
      <c r="A16" s="57"/>
      <c r="B16" t="s">
        <v>153</v>
      </c>
      <c r="C16">
        <f>C15/LN(10)</f>
        <v>-18.171964176431636</v>
      </c>
      <c r="D16">
        <f>D15/LN(10)</f>
        <v>2.051228642264451</v>
      </c>
      <c r="H16" t="s">
        <v>154</v>
      </c>
      <c r="I16">
        <v>-744.00400000000002</v>
      </c>
      <c r="J16" s="59">
        <v>0.41799999999999998</v>
      </c>
      <c r="K16">
        <v>-909.34</v>
      </c>
      <c r="L16">
        <v>0.4</v>
      </c>
      <c r="M16" t="s">
        <v>150</v>
      </c>
      <c r="O16" s="57"/>
    </row>
    <row r="17" spans="1:15" ht="18.75">
      <c r="A17" s="57"/>
      <c r="B17" s="58" t="s">
        <v>155</v>
      </c>
      <c r="C17">
        <f>((2/3)*K19)+(4*K14)+(6*K16)+(22*K17)-E5</f>
        <v>-239.0557449530661</v>
      </c>
      <c r="D17">
        <f>SQRT(((2/3)*L19)^2+(4*L14)^2+(6*L16)^2+(22*L17)^2+F5^2)</f>
        <v>10.669517696118845</v>
      </c>
      <c r="H17" t="s">
        <v>156</v>
      </c>
      <c r="I17">
        <v>-237.14</v>
      </c>
      <c r="J17" s="60">
        <v>4.1000000000000002E-2</v>
      </c>
      <c r="K17" s="61">
        <v>-285.83</v>
      </c>
      <c r="L17" s="61">
        <v>0.04</v>
      </c>
      <c r="M17" t="s">
        <v>150</v>
      </c>
      <c r="O17" s="57"/>
    </row>
    <row r="18" spans="1:15" ht="16.5">
      <c r="A18" s="57"/>
      <c r="H18" t="s">
        <v>157</v>
      </c>
      <c r="I18">
        <v>-455.375</v>
      </c>
      <c r="J18">
        <v>1.335</v>
      </c>
      <c r="K18">
        <v>-467</v>
      </c>
      <c r="L18">
        <v>0.6</v>
      </c>
      <c r="M18" t="s">
        <v>150</v>
      </c>
      <c r="O18" s="57"/>
    </row>
    <row r="19" spans="1:15" ht="16.5">
      <c r="A19" s="57"/>
      <c r="H19" t="s">
        <v>158</v>
      </c>
      <c r="I19">
        <v>-491.50700000000001</v>
      </c>
      <c r="J19">
        <v>3.3380000000000001</v>
      </c>
      <c r="K19">
        <v>-538.4</v>
      </c>
      <c r="L19">
        <v>1.5</v>
      </c>
      <c r="M19" t="s">
        <v>150</v>
      </c>
      <c r="O19" s="57"/>
    </row>
    <row r="20" spans="1:1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Cp</vt:lpstr>
      <vt:lpstr>fits</vt:lpstr>
      <vt:lpstr>S</vt:lpstr>
      <vt:lpstr>S-6 sigdig</vt:lpstr>
      <vt:lpstr>H</vt:lpstr>
      <vt:lpstr>cycle</vt:lpstr>
      <vt:lpstr>lepido</vt:lpstr>
      <vt:lpstr>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Majzlan</dc:creator>
  <cp:lastModifiedBy>Juraj Majzlan</cp:lastModifiedBy>
  <dcterms:created xsi:type="dcterms:W3CDTF">2024-05-13T18:03:06Z</dcterms:created>
  <dcterms:modified xsi:type="dcterms:W3CDTF">2024-05-27T06:00:55Z</dcterms:modified>
</cp:coreProperties>
</file>