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4-6_Depository_November_2016\ModalSpaceTheory_CM54_1600046\"/>
    </mc:Choice>
  </mc:AlternateContent>
  <xr:revisionPtr revIDLastSave="0" documentId="8_{34F1B1DC-B364-4A8B-899E-9133E149E5E7}" xr6:coauthVersionLast="40" xr6:coauthVersionMax="40" xr10:uidLastSave="{00000000-0000-0000-0000-000000000000}"/>
  <bookViews>
    <workbookView xWindow="1080" yWindow="300" windowWidth="23370" windowHeight="13245" tabRatio="500" activeTab="2" xr2:uid="{00000000-000D-0000-FFFF-FFFF00000000}"/>
  </bookViews>
  <sheets>
    <sheet name="Qz-basalt-polyhedron" sheetId="1" r:id="rId1"/>
    <sheet name="Ol-basalt-polyhedron" sheetId="4" r:id="rId2"/>
    <sheet name="NORM-dm" sheetId="3" r:id="rId3"/>
    <sheet name="NORM-DR00-6" sheetId="6" r:id="rId4"/>
    <sheet name="NORM-dx" sheetId="5" r:id="rId5"/>
  </sheets>
  <definedNames>
    <definedName name="_xlnm.Print_Area" localSheetId="1">'Ol-basalt-polyhedron'!$B$1:$O$107</definedName>
    <definedName name="_xlnm.Print_Area" localSheetId="0">'Qz-basalt-polyhedron'!$B$1:$O$107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" i="6" l="1"/>
  <c r="H6" i="6"/>
  <c r="G7" i="6"/>
  <c r="H7" i="6"/>
  <c r="G8" i="6"/>
  <c r="H8" i="6"/>
  <c r="G9" i="6"/>
  <c r="H9" i="6"/>
  <c r="G10" i="6"/>
  <c r="H10" i="6"/>
  <c r="K10" i="6"/>
  <c r="G11" i="6"/>
  <c r="H11" i="6"/>
  <c r="G12" i="6"/>
  <c r="H12" i="6"/>
  <c r="G13" i="6"/>
  <c r="H13" i="6"/>
  <c r="G14" i="6"/>
  <c r="H14" i="6"/>
  <c r="K14" i="6"/>
  <c r="G15" i="6"/>
  <c r="H15" i="6"/>
  <c r="G16" i="6"/>
  <c r="H16" i="6"/>
  <c r="E17" i="6"/>
  <c r="H17" i="6"/>
  <c r="D21" i="6"/>
  <c r="H21" i="6"/>
  <c r="I21" i="6"/>
  <c r="D22" i="6"/>
  <c r="H22" i="6"/>
  <c r="E27" i="6"/>
  <c r="H27" i="6"/>
  <c r="G28" i="6"/>
  <c r="I29" i="6"/>
  <c r="L29" i="6"/>
  <c r="D33" i="6" a="1"/>
  <c r="D33" i="6"/>
  <c r="E33" i="6"/>
  <c r="F33" i="6"/>
  <c r="G33" i="6"/>
  <c r="H33" i="6"/>
  <c r="I33" i="6"/>
  <c r="J33" i="6"/>
  <c r="K33" i="6"/>
  <c r="L33" i="6"/>
  <c r="N33" i="6"/>
  <c r="D34" i="6"/>
  <c r="E34" i="6"/>
  <c r="F34" i="6"/>
  <c r="G34" i="6"/>
  <c r="H34" i="6"/>
  <c r="I34" i="6"/>
  <c r="J34" i="6"/>
  <c r="K34" i="6"/>
  <c r="L34" i="6"/>
  <c r="N34" i="6"/>
  <c r="D35" i="6"/>
  <c r="E35" i="6"/>
  <c r="F35" i="6"/>
  <c r="G35" i="6"/>
  <c r="H35" i="6"/>
  <c r="I35" i="6"/>
  <c r="J35" i="6"/>
  <c r="K35" i="6"/>
  <c r="L35" i="6"/>
  <c r="N35" i="6"/>
  <c r="D36" i="6"/>
  <c r="E36" i="6"/>
  <c r="F36" i="6"/>
  <c r="G36" i="6"/>
  <c r="H36" i="6"/>
  <c r="I36" i="6"/>
  <c r="J36" i="6"/>
  <c r="K36" i="6"/>
  <c r="L36" i="6"/>
  <c r="N36" i="6"/>
  <c r="D37" i="6"/>
  <c r="E37" i="6"/>
  <c r="F37" i="6"/>
  <c r="G37" i="6"/>
  <c r="H37" i="6"/>
  <c r="I37" i="6"/>
  <c r="J37" i="6"/>
  <c r="K37" i="6"/>
  <c r="L37" i="6"/>
  <c r="N37" i="6"/>
  <c r="D38" i="6"/>
  <c r="E38" i="6"/>
  <c r="F38" i="6"/>
  <c r="G38" i="6"/>
  <c r="H38" i="6"/>
  <c r="I38" i="6"/>
  <c r="J38" i="6"/>
  <c r="K38" i="6"/>
  <c r="L38" i="6"/>
  <c r="N38" i="6"/>
  <c r="D39" i="6"/>
  <c r="E39" i="6"/>
  <c r="F39" i="6"/>
  <c r="G39" i="6"/>
  <c r="H39" i="6"/>
  <c r="I39" i="6"/>
  <c r="J39" i="6"/>
  <c r="K39" i="6"/>
  <c r="L39" i="6"/>
  <c r="N39" i="6"/>
  <c r="D40" i="6"/>
  <c r="E40" i="6"/>
  <c r="F40" i="6"/>
  <c r="G40" i="6"/>
  <c r="H40" i="6"/>
  <c r="I40" i="6"/>
  <c r="J40" i="6"/>
  <c r="K40" i="6"/>
  <c r="L40" i="6"/>
  <c r="N40" i="6"/>
  <c r="D41" i="6"/>
  <c r="E41" i="6"/>
  <c r="F41" i="6"/>
  <c r="G41" i="6"/>
  <c r="H41" i="6"/>
  <c r="I41" i="6"/>
  <c r="J41" i="6"/>
  <c r="K41" i="6"/>
  <c r="L41" i="6"/>
  <c r="N41" i="6"/>
  <c r="C44" i="6" a="1"/>
  <c r="C44" i="6"/>
  <c r="C45" i="6"/>
  <c r="C46" i="6"/>
  <c r="C47" i="6"/>
  <c r="C48" i="6"/>
  <c r="C49" i="6"/>
  <c r="C50" i="6"/>
  <c r="C51" i="6"/>
  <c r="C52" i="6"/>
  <c r="C54" i="6"/>
  <c r="D44" i="6" a="1"/>
  <c r="D44" i="6"/>
  <c r="H44" i="6"/>
  <c r="D45" i="6"/>
  <c r="D46" i="6"/>
  <c r="H45" i="6"/>
  <c r="H46" i="6"/>
  <c r="D47" i="6"/>
  <c r="H47" i="6"/>
  <c r="D48" i="6"/>
  <c r="H48" i="6"/>
  <c r="D49" i="6"/>
  <c r="H49" i="6"/>
  <c r="D50" i="6"/>
  <c r="H50" i="6"/>
  <c r="D51" i="6"/>
  <c r="H51" i="6"/>
  <c r="D52" i="6"/>
  <c r="H52" i="6"/>
  <c r="D54" i="6"/>
  <c r="H54" i="6"/>
  <c r="D56" i="6"/>
  <c r="H56" i="6"/>
  <c r="D57" i="6"/>
  <c r="H57" i="6"/>
  <c r="G6" i="5"/>
  <c r="H6" i="5"/>
  <c r="G7" i="5"/>
  <c r="H7" i="5"/>
  <c r="G8" i="5"/>
  <c r="H8" i="5"/>
  <c r="G9" i="5"/>
  <c r="H9" i="5"/>
  <c r="G10" i="5"/>
  <c r="H10" i="5"/>
  <c r="K10" i="5"/>
  <c r="G11" i="5"/>
  <c r="H11" i="5"/>
  <c r="G12" i="5"/>
  <c r="H12" i="5"/>
  <c r="G13" i="5"/>
  <c r="H13" i="5"/>
  <c r="G14" i="5"/>
  <c r="H14" i="5"/>
  <c r="K14" i="5"/>
  <c r="G15" i="5"/>
  <c r="H15" i="5"/>
  <c r="G16" i="5"/>
  <c r="H16" i="5"/>
  <c r="E17" i="5"/>
  <c r="H17" i="5"/>
  <c r="D21" i="5"/>
  <c r="H21" i="5"/>
  <c r="I21" i="5"/>
  <c r="D22" i="5"/>
  <c r="H22" i="5"/>
  <c r="E27" i="5"/>
  <c r="H27" i="5"/>
  <c r="G28" i="5"/>
  <c r="I29" i="5"/>
  <c r="L29" i="5"/>
  <c r="D33" i="5" a="1"/>
  <c r="D33" i="5"/>
  <c r="E33" i="5"/>
  <c r="F33" i="5"/>
  <c r="G33" i="5"/>
  <c r="H33" i="5"/>
  <c r="I33" i="5"/>
  <c r="J33" i="5"/>
  <c r="K33" i="5"/>
  <c r="L33" i="5"/>
  <c r="N33" i="5"/>
  <c r="D34" i="5"/>
  <c r="E34" i="5"/>
  <c r="F34" i="5"/>
  <c r="G34" i="5"/>
  <c r="H34" i="5"/>
  <c r="I34" i="5"/>
  <c r="J34" i="5"/>
  <c r="K34" i="5"/>
  <c r="L34" i="5"/>
  <c r="N34" i="5"/>
  <c r="D35" i="5"/>
  <c r="E35" i="5"/>
  <c r="F35" i="5"/>
  <c r="G35" i="5"/>
  <c r="H35" i="5"/>
  <c r="I35" i="5"/>
  <c r="J35" i="5"/>
  <c r="K35" i="5"/>
  <c r="L35" i="5"/>
  <c r="N35" i="5"/>
  <c r="D36" i="5"/>
  <c r="E36" i="5"/>
  <c r="F36" i="5"/>
  <c r="G36" i="5"/>
  <c r="H36" i="5"/>
  <c r="I36" i="5"/>
  <c r="J36" i="5"/>
  <c r="K36" i="5"/>
  <c r="L36" i="5"/>
  <c r="N36" i="5"/>
  <c r="D37" i="5"/>
  <c r="E37" i="5"/>
  <c r="F37" i="5"/>
  <c r="G37" i="5"/>
  <c r="H37" i="5"/>
  <c r="I37" i="5"/>
  <c r="J37" i="5"/>
  <c r="K37" i="5"/>
  <c r="L37" i="5"/>
  <c r="N37" i="5"/>
  <c r="D38" i="5"/>
  <c r="E38" i="5"/>
  <c r="F38" i="5"/>
  <c r="G38" i="5"/>
  <c r="H38" i="5"/>
  <c r="I38" i="5"/>
  <c r="J38" i="5"/>
  <c r="K38" i="5"/>
  <c r="L38" i="5"/>
  <c r="N38" i="5"/>
  <c r="D39" i="5"/>
  <c r="E39" i="5"/>
  <c r="F39" i="5"/>
  <c r="G39" i="5"/>
  <c r="H39" i="5"/>
  <c r="I39" i="5"/>
  <c r="J39" i="5"/>
  <c r="K39" i="5"/>
  <c r="L39" i="5"/>
  <c r="N39" i="5"/>
  <c r="D40" i="5"/>
  <c r="E40" i="5"/>
  <c r="F40" i="5"/>
  <c r="G40" i="5"/>
  <c r="H40" i="5"/>
  <c r="I40" i="5"/>
  <c r="J40" i="5"/>
  <c r="K40" i="5"/>
  <c r="L40" i="5"/>
  <c r="N40" i="5"/>
  <c r="D41" i="5"/>
  <c r="E41" i="5"/>
  <c r="F41" i="5"/>
  <c r="G41" i="5"/>
  <c r="H41" i="5"/>
  <c r="I41" i="5"/>
  <c r="J41" i="5"/>
  <c r="K41" i="5"/>
  <c r="L41" i="5"/>
  <c r="N41" i="5"/>
  <c r="C44" i="5" a="1"/>
  <c r="C44" i="5"/>
  <c r="C45" i="5"/>
  <c r="C46" i="5"/>
  <c r="C47" i="5"/>
  <c r="C48" i="5"/>
  <c r="C49" i="5"/>
  <c r="C50" i="5"/>
  <c r="C51" i="5"/>
  <c r="C52" i="5"/>
  <c r="C54" i="5"/>
  <c r="D44" i="5" a="1"/>
  <c r="D44" i="5"/>
  <c r="H44" i="5"/>
  <c r="D45" i="5"/>
  <c r="D46" i="5"/>
  <c r="H45" i="5"/>
  <c r="H46" i="5"/>
  <c r="D47" i="5"/>
  <c r="H47" i="5"/>
  <c r="D48" i="5"/>
  <c r="H48" i="5"/>
  <c r="D49" i="5"/>
  <c r="H49" i="5"/>
  <c r="D50" i="5"/>
  <c r="H50" i="5"/>
  <c r="D51" i="5"/>
  <c r="H51" i="5"/>
  <c r="D52" i="5"/>
  <c r="H52" i="5"/>
  <c r="D54" i="5"/>
  <c r="H54" i="5"/>
  <c r="D56" i="5"/>
  <c r="H56" i="5"/>
  <c r="D57" i="5"/>
  <c r="H57" i="5"/>
  <c r="J7" i="4"/>
  <c r="K7" i="4"/>
  <c r="G14" i="4" a="1"/>
  <c r="G14" i="4"/>
  <c r="H14" i="4"/>
  <c r="I14" i="4"/>
  <c r="J14" i="4"/>
  <c r="K14" i="4"/>
  <c r="M14" i="4"/>
  <c r="G15" i="4"/>
  <c r="H15" i="4"/>
  <c r="I15" i="4"/>
  <c r="J15" i="4"/>
  <c r="K15" i="4"/>
  <c r="M15" i="4"/>
  <c r="G16" i="4"/>
  <c r="H16" i="4"/>
  <c r="I16" i="4"/>
  <c r="J16" i="4"/>
  <c r="K16" i="4"/>
  <c r="M16" i="4"/>
  <c r="C17" i="4"/>
  <c r="G17" i="4"/>
  <c r="H17" i="4"/>
  <c r="I17" i="4"/>
  <c r="J17" i="4"/>
  <c r="K17" i="4"/>
  <c r="M17" i="4"/>
  <c r="C18" i="4"/>
  <c r="G18" i="4"/>
  <c r="H18" i="4"/>
  <c r="I18" i="4"/>
  <c r="J18" i="4"/>
  <c r="K18" i="4"/>
  <c r="M18" i="4"/>
  <c r="F21" i="4" a="1"/>
  <c r="F21" i="4"/>
  <c r="L21" i="4"/>
  <c r="F22" i="4"/>
  <c r="L22" i="4"/>
  <c r="F23" i="4"/>
  <c r="F24" i="4"/>
  <c r="F25" i="4"/>
  <c r="L25" i="4"/>
  <c r="L26" i="4"/>
  <c r="L28" i="4"/>
  <c r="L29" i="4"/>
  <c r="H30" i="4"/>
  <c r="L30" i="4"/>
  <c r="D32" i="4"/>
  <c r="J42" i="4"/>
  <c r="H42" i="4"/>
  <c r="J43" i="4"/>
  <c r="C34" i="4"/>
  <c r="I42" i="4"/>
  <c r="I43" i="4"/>
  <c r="I44" i="4"/>
  <c r="J44" i="4"/>
  <c r="I45" i="4"/>
  <c r="C35" i="4"/>
  <c r="H51" i="4"/>
  <c r="C36" i="4"/>
  <c r="C37" i="4"/>
  <c r="Z38" i="4"/>
  <c r="F42" i="4"/>
  <c r="F51" i="4"/>
  <c r="M51" i="4"/>
  <c r="AC38" i="4"/>
  <c r="AE38" i="4"/>
  <c r="G42" i="4"/>
  <c r="K42" i="4"/>
  <c r="L42" i="4"/>
  <c r="P42" i="4"/>
  <c r="R42" i="4"/>
  <c r="Q42" i="4"/>
  <c r="S42" i="4"/>
  <c r="AB42" i="4"/>
  <c r="AC42" i="4"/>
  <c r="AD42" i="4"/>
  <c r="AE42" i="4"/>
  <c r="AL42" i="4"/>
  <c r="AM42" i="4"/>
  <c r="AN42" i="4"/>
  <c r="AO42" i="4"/>
  <c r="C43" i="4"/>
  <c r="F43" i="4"/>
  <c r="G43" i="4"/>
  <c r="H43" i="4"/>
  <c r="K43" i="4"/>
  <c r="L43" i="4"/>
  <c r="P43" i="4"/>
  <c r="R43" i="4"/>
  <c r="Q43" i="4"/>
  <c r="S43" i="4"/>
  <c r="Z43" i="4"/>
  <c r="AA43" i="4"/>
  <c r="AB43" i="4"/>
  <c r="AC43" i="4"/>
  <c r="AD43" i="4"/>
  <c r="AE43" i="4"/>
  <c r="C44" i="4"/>
  <c r="D44" i="4"/>
  <c r="E44" i="4"/>
  <c r="F44" i="4"/>
  <c r="G44" i="4"/>
  <c r="H44" i="4"/>
  <c r="K44" i="4"/>
  <c r="L44" i="4"/>
  <c r="U44" i="4"/>
  <c r="X44" i="4"/>
  <c r="V44" i="4"/>
  <c r="W44" i="4"/>
  <c r="AG44" i="4"/>
  <c r="AH44" i="4"/>
  <c r="AI44" i="4"/>
  <c r="AJ44" i="4"/>
  <c r="C45" i="4"/>
  <c r="D45" i="4"/>
  <c r="E45" i="4"/>
  <c r="F45" i="4"/>
  <c r="G45" i="4"/>
  <c r="H45" i="4"/>
  <c r="J45" i="4"/>
  <c r="K45" i="4"/>
  <c r="L45" i="4"/>
  <c r="U45" i="4"/>
  <c r="X45" i="4"/>
  <c r="V45" i="4"/>
  <c r="W45" i="4"/>
  <c r="AG45" i="4"/>
  <c r="AH45" i="4"/>
  <c r="AI45" i="4"/>
  <c r="AJ45" i="4"/>
  <c r="C46" i="4"/>
  <c r="D46" i="4"/>
  <c r="E46" i="4"/>
  <c r="F46" i="4"/>
  <c r="G46" i="4"/>
  <c r="H46" i="4"/>
  <c r="I46" i="4"/>
  <c r="J46" i="4"/>
  <c r="K46" i="4"/>
  <c r="L46" i="4"/>
  <c r="P46" i="4"/>
  <c r="R46" i="4"/>
  <c r="Q46" i="4"/>
  <c r="S46" i="4"/>
  <c r="Z46" i="4"/>
  <c r="AA46" i="4"/>
  <c r="AB46" i="4"/>
  <c r="AC46" i="4"/>
  <c r="AD46" i="4"/>
  <c r="AE46" i="4"/>
  <c r="C47" i="4"/>
  <c r="D47" i="4"/>
  <c r="E47" i="4"/>
  <c r="F47" i="4"/>
  <c r="G47" i="4"/>
  <c r="H47" i="4"/>
  <c r="I47" i="4"/>
  <c r="J47" i="4"/>
  <c r="K47" i="4"/>
  <c r="L47" i="4"/>
  <c r="C50" i="4"/>
  <c r="D50" i="4"/>
  <c r="E50" i="4"/>
  <c r="F50" i="4"/>
  <c r="G50" i="4"/>
  <c r="H50" i="4"/>
  <c r="I50" i="4"/>
  <c r="J50" i="4"/>
  <c r="K50" i="4"/>
  <c r="L50" i="4"/>
  <c r="C51" i="4"/>
  <c r="D51" i="4"/>
  <c r="E51" i="4"/>
  <c r="G51" i="4"/>
  <c r="I51" i="4"/>
  <c r="J51" i="4"/>
  <c r="K51" i="4"/>
  <c r="L51" i="4"/>
  <c r="P51" i="4"/>
  <c r="R51" i="4"/>
  <c r="Q51" i="4"/>
  <c r="S51" i="4"/>
  <c r="Z51" i="4"/>
  <c r="AA51" i="4"/>
  <c r="AB51" i="4"/>
  <c r="AC51" i="4"/>
  <c r="AD51" i="4"/>
  <c r="AE51" i="4"/>
  <c r="AL51" i="4"/>
  <c r="AM51" i="4"/>
  <c r="AN51" i="4"/>
  <c r="AO51" i="4"/>
  <c r="C52" i="4"/>
  <c r="D52" i="4"/>
  <c r="E52" i="4"/>
  <c r="F52" i="4"/>
  <c r="G52" i="4"/>
  <c r="H52" i="4"/>
  <c r="I52" i="4"/>
  <c r="J52" i="4"/>
  <c r="K52" i="4"/>
  <c r="L52" i="4"/>
  <c r="U52" i="4"/>
  <c r="X52" i="4"/>
  <c r="V52" i="4"/>
  <c r="W52" i="4"/>
  <c r="AG52" i="4"/>
  <c r="AH52" i="4"/>
  <c r="AI52" i="4"/>
  <c r="AJ52" i="4"/>
  <c r="AL52" i="4"/>
  <c r="AM52" i="4"/>
  <c r="AN52" i="4"/>
  <c r="AO52" i="4"/>
  <c r="C53" i="4"/>
  <c r="D53" i="4"/>
  <c r="E53" i="4"/>
  <c r="F53" i="4"/>
  <c r="G53" i="4"/>
  <c r="H53" i="4"/>
  <c r="I53" i="4"/>
  <c r="J53" i="4"/>
  <c r="K53" i="4"/>
  <c r="L53" i="4"/>
  <c r="C54" i="4"/>
  <c r="D54" i="4"/>
  <c r="E54" i="4"/>
  <c r="F54" i="4"/>
  <c r="G54" i="4"/>
  <c r="H54" i="4"/>
  <c r="I54" i="4"/>
  <c r="J54" i="4"/>
  <c r="K54" i="4"/>
  <c r="L54" i="4"/>
  <c r="C57" i="4"/>
  <c r="D57" i="4"/>
  <c r="E57" i="4"/>
  <c r="F57" i="4"/>
  <c r="G57" i="4"/>
  <c r="H57" i="4"/>
  <c r="I57" i="4"/>
  <c r="J57" i="4"/>
  <c r="K57" i="4"/>
  <c r="L57" i="4"/>
  <c r="C58" i="4"/>
  <c r="D58" i="4"/>
  <c r="E58" i="4"/>
  <c r="G58" i="4"/>
  <c r="F58" i="4"/>
  <c r="H58" i="4"/>
  <c r="I58" i="4"/>
  <c r="J58" i="4"/>
  <c r="L58" i="4"/>
  <c r="P58" i="4"/>
  <c r="R58" i="4"/>
  <c r="Q58" i="4"/>
  <c r="S58" i="4"/>
  <c r="U58" i="4"/>
  <c r="X58" i="4"/>
  <c r="V58" i="4"/>
  <c r="W58" i="4"/>
  <c r="Z58" i="4"/>
  <c r="AA58" i="4"/>
  <c r="AB58" i="4"/>
  <c r="AC58" i="4"/>
  <c r="AD58" i="4"/>
  <c r="AE58" i="4"/>
  <c r="AG58" i="4"/>
  <c r="AH58" i="4"/>
  <c r="AI58" i="4"/>
  <c r="AJ58" i="4"/>
  <c r="C59" i="4"/>
  <c r="D59" i="4"/>
  <c r="E59" i="4"/>
  <c r="G68" i="4"/>
  <c r="F59" i="4"/>
  <c r="G59" i="4"/>
  <c r="I68" i="4"/>
  <c r="I59" i="4"/>
  <c r="J68" i="4"/>
  <c r="J59" i="4"/>
  <c r="L59" i="4"/>
  <c r="P59" i="4"/>
  <c r="R59" i="4"/>
  <c r="Q59" i="4"/>
  <c r="S59" i="4"/>
  <c r="Z59" i="4"/>
  <c r="AA59" i="4"/>
  <c r="AB59" i="4"/>
  <c r="AC59" i="4"/>
  <c r="AD59" i="4"/>
  <c r="AE59" i="4"/>
  <c r="C60" i="4"/>
  <c r="D60" i="4"/>
  <c r="E60" i="4"/>
  <c r="F60" i="4"/>
  <c r="G60" i="4"/>
  <c r="H60" i="4"/>
  <c r="I60" i="4"/>
  <c r="J60" i="4"/>
  <c r="K60" i="4"/>
  <c r="L60" i="4"/>
  <c r="C63" i="4"/>
  <c r="D63" i="4"/>
  <c r="E63" i="4"/>
  <c r="F63" i="4"/>
  <c r="G63" i="4"/>
  <c r="H63" i="4"/>
  <c r="I63" i="4"/>
  <c r="J63" i="4"/>
  <c r="K63" i="4"/>
  <c r="L63" i="4"/>
  <c r="C64" i="4"/>
  <c r="D64" i="4"/>
  <c r="F64" i="4"/>
  <c r="G64" i="4"/>
  <c r="H64" i="4"/>
  <c r="I64" i="4"/>
  <c r="J64" i="4"/>
  <c r="K64" i="4"/>
  <c r="L64" i="4"/>
  <c r="U64" i="4"/>
  <c r="X64" i="4"/>
  <c r="V64" i="4"/>
  <c r="W64" i="4"/>
  <c r="AG64" i="4"/>
  <c r="AH64" i="4"/>
  <c r="AI64" i="4"/>
  <c r="AJ64" i="4"/>
  <c r="AL64" i="4"/>
  <c r="AM64" i="4"/>
  <c r="AN64" i="4"/>
  <c r="AO64" i="4"/>
  <c r="C67" i="4"/>
  <c r="D67" i="4"/>
  <c r="E67" i="4"/>
  <c r="C68" i="4"/>
  <c r="D68" i="4"/>
  <c r="E68" i="4"/>
  <c r="H68" i="4"/>
  <c r="K68" i="4"/>
  <c r="L68" i="4"/>
  <c r="U68" i="4"/>
  <c r="X68" i="4"/>
  <c r="V68" i="4"/>
  <c r="W68" i="4"/>
  <c r="AG68" i="4"/>
  <c r="AH68" i="4"/>
  <c r="AI68" i="4"/>
  <c r="AJ68" i="4"/>
  <c r="N6" i="3"/>
  <c r="K5" i="3"/>
  <c r="K6" i="3"/>
  <c r="K12" i="3"/>
  <c r="B16" i="3"/>
  <c r="C16" i="3"/>
  <c r="D16" i="3"/>
  <c r="E16" i="3"/>
  <c r="F16" i="3"/>
  <c r="G16" i="3"/>
  <c r="H16" i="3"/>
  <c r="H20" i="3" a="1"/>
  <c r="H20" i="3"/>
  <c r="H21" i="3" a="1"/>
  <c r="H21" i="3"/>
  <c r="H22" i="3" a="1"/>
  <c r="H22" i="3"/>
  <c r="H23" i="3" a="1"/>
  <c r="H23" i="3"/>
  <c r="H24" i="3" a="1"/>
  <c r="H24" i="3"/>
  <c r="H25" i="3" a="1"/>
  <c r="H25" i="3"/>
  <c r="H26" i="3" a="1"/>
  <c r="H26" i="3"/>
  <c r="H27" i="3" a="1"/>
  <c r="H27" i="3"/>
  <c r="H28" i="3" a="1"/>
  <c r="H28" i="3"/>
  <c r="H29" i="3" a="1"/>
  <c r="H29" i="3"/>
  <c r="H30" i="3" a="1"/>
  <c r="H30" i="3"/>
  <c r="H31" i="3"/>
  <c r="D35" i="3"/>
  <c r="H35" i="3"/>
  <c r="I35" i="3"/>
  <c r="D36" i="3"/>
  <c r="H36" i="3"/>
  <c r="E41" i="3"/>
  <c r="H41" i="3"/>
  <c r="G42" i="3"/>
  <c r="I43" i="3"/>
  <c r="L43" i="3"/>
  <c r="D47" i="3" a="1"/>
  <c r="D47" i="3"/>
  <c r="E47" i="3"/>
  <c r="F47" i="3"/>
  <c r="G47" i="3"/>
  <c r="H47" i="3"/>
  <c r="I47" i="3"/>
  <c r="J47" i="3"/>
  <c r="K47" i="3"/>
  <c r="L47" i="3"/>
  <c r="N47" i="3"/>
  <c r="D48" i="3"/>
  <c r="E48" i="3"/>
  <c r="F48" i="3"/>
  <c r="G48" i="3"/>
  <c r="H48" i="3"/>
  <c r="I48" i="3"/>
  <c r="J48" i="3"/>
  <c r="K48" i="3"/>
  <c r="L48" i="3"/>
  <c r="N48" i="3"/>
  <c r="D49" i="3"/>
  <c r="E49" i="3"/>
  <c r="F49" i="3"/>
  <c r="G49" i="3"/>
  <c r="H49" i="3"/>
  <c r="I49" i="3"/>
  <c r="J49" i="3"/>
  <c r="K49" i="3"/>
  <c r="L49" i="3"/>
  <c r="N49" i="3"/>
  <c r="D50" i="3"/>
  <c r="E50" i="3"/>
  <c r="F50" i="3"/>
  <c r="G50" i="3"/>
  <c r="H50" i="3"/>
  <c r="I50" i="3"/>
  <c r="J50" i="3"/>
  <c r="K50" i="3"/>
  <c r="L50" i="3"/>
  <c r="N50" i="3"/>
  <c r="D51" i="3"/>
  <c r="E51" i="3"/>
  <c r="F51" i="3"/>
  <c r="G51" i="3"/>
  <c r="H51" i="3"/>
  <c r="I51" i="3"/>
  <c r="J51" i="3"/>
  <c r="K51" i="3"/>
  <c r="L51" i="3"/>
  <c r="N51" i="3"/>
  <c r="D52" i="3"/>
  <c r="E52" i="3"/>
  <c r="F52" i="3"/>
  <c r="G52" i="3"/>
  <c r="H52" i="3"/>
  <c r="I52" i="3"/>
  <c r="J52" i="3"/>
  <c r="K52" i="3"/>
  <c r="L52" i="3"/>
  <c r="N52" i="3"/>
  <c r="D53" i="3"/>
  <c r="E53" i="3"/>
  <c r="F53" i="3"/>
  <c r="G53" i="3"/>
  <c r="H53" i="3"/>
  <c r="I53" i="3"/>
  <c r="J53" i="3"/>
  <c r="K53" i="3"/>
  <c r="L53" i="3"/>
  <c r="N53" i="3"/>
  <c r="D54" i="3"/>
  <c r="E54" i="3"/>
  <c r="F54" i="3"/>
  <c r="G54" i="3"/>
  <c r="H54" i="3"/>
  <c r="I54" i="3"/>
  <c r="J54" i="3"/>
  <c r="K54" i="3"/>
  <c r="L54" i="3"/>
  <c r="N54" i="3"/>
  <c r="D55" i="3"/>
  <c r="E55" i="3"/>
  <c r="F55" i="3"/>
  <c r="G55" i="3"/>
  <c r="H55" i="3"/>
  <c r="I55" i="3"/>
  <c r="J55" i="3"/>
  <c r="K55" i="3"/>
  <c r="L55" i="3"/>
  <c r="N55" i="3"/>
  <c r="C58" i="3" a="1"/>
  <c r="C58" i="3"/>
  <c r="C59" i="3"/>
  <c r="C60" i="3"/>
  <c r="C61" i="3"/>
  <c r="C62" i="3"/>
  <c r="C63" i="3"/>
  <c r="C64" i="3"/>
  <c r="C65" i="3"/>
  <c r="C66" i="3"/>
  <c r="C68" i="3"/>
  <c r="D58" i="3" a="1"/>
  <c r="D58" i="3"/>
  <c r="H58" i="3"/>
  <c r="D59" i="3"/>
  <c r="D60" i="3"/>
  <c r="H59" i="3"/>
  <c r="H60" i="3"/>
  <c r="D61" i="3"/>
  <c r="H61" i="3"/>
  <c r="D62" i="3"/>
  <c r="H62" i="3"/>
  <c r="D63" i="3"/>
  <c r="H63" i="3"/>
  <c r="D64" i="3"/>
  <c r="H64" i="3"/>
  <c r="D65" i="3"/>
  <c r="H65" i="3"/>
  <c r="D66" i="3"/>
  <c r="H66" i="3"/>
  <c r="D68" i="3"/>
  <c r="H68" i="3"/>
  <c r="D70" i="3"/>
  <c r="H70" i="3"/>
  <c r="D71" i="3"/>
  <c r="H71" i="3"/>
  <c r="L26" i="1"/>
  <c r="H42" i="1"/>
  <c r="C37" i="1"/>
  <c r="I42" i="1"/>
  <c r="I43" i="1"/>
  <c r="I44" i="1"/>
  <c r="C18" i="1"/>
  <c r="C17" i="1"/>
  <c r="M15" i="1"/>
  <c r="M18" i="1"/>
  <c r="M17" i="1"/>
  <c r="M16" i="1"/>
  <c r="M14" i="1"/>
  <c r="J7" i="1"/>
  <c r="K7" i="1"/>
  <c r="G14" i="1" a="1"/>
  <c r="G14" i="1"/>
  <c r="H14" i="1"/>
  <c r="I14" i="1"/>
  <c r="J14" i="1"/>
  <c r="K14" i="1"/>
  <c r="G15" i="1"/>
  <c r="H15" i="1"/>
  <c r="I15" i="1"/>
  <c r="J15" i="1"/>
  <c r="K15" i="1"/>
  <c r="G16" i="1"/>
  <c r="H16" i="1"/>
  <c r="I16" i="1"/>
  <c r="J16" i="1"/>
  <c r="K16" i="1"/>
  <c r="G17" i="1"/>
  <c r="H17" i="1"/>
  <c r="I17" i="1"/>
  <c r="J17" i="1"/>
  <c r="K17" i="1"/>
  <c r="G18" i="1"/>
  <c r="H18" i="1"/>
  <c r="I18" i="1"/>
  <c r="J18" i="1"/>
  <c r="K18" i="1"/>
  <c r="K42" i="1"/>
  <c r="K43" i="1"/>
  <c r="K50" i="1"/>
  <c r="G58" i="1"/>
  <c r="H64" i="1"/>
  <c r="X58" i="1"/>
  <c r="W58" i="1"/>
  <c r="AI58" i="1"/>
  <c r="AJ58" i="1"/>
  <c r="G42" i="1"/>
  <c r="G43" i="1"/>
  <c r="G47" i="1"/>
  <c r="G59" i="1"/>
  <c r="I58" i="1"/>
  <c r="H43" i="1"/>
  <c r="H58" i="1"/>
  <c r="J45" i="1"/>
  <c r="H68" i="1"/>
  <c r="K47" i="1"/>
  <c r="C43" i="1"/>
  <c r="C58" i="1"/>
  <c r="C59" i="1"/>
  <c r="C67" i="1"/>
  <c r="C68" i="1"/>
  <c r="I64" i="1"/>
  <c r="F64" i="1"/>
  <c r="D63" i="1"/>
  <c r="C63" i="1"/>
  <c r="C64" i="1"/>
  <c r="K63" i="1"/>
  <c r="I63" i="1"/>
  <c r="H63" i="1"/>
  <c r="G63" i="1"/>
  <c r="E63" i="1"/>
  <c r="K57" i="1"/>
  <c r="K60" i="1"/>
  <c r="I57" i="1"/>
  <c r="I60" i="1"/>
  <c r="H57" i="1"/>
  <c r="H60" i="1"/>
  <c r="G57" i="1"/>
  <c r="G60" i="1"/>
  <c r="E57" i="1"/>
  <c r="E60" i="1"/>
  <c r="D57" i="1"/>
  <c r="D60" i="1"/>
  <c r="C57" i="1"/>
  <c r="C60" i="1"/>
  <c r="E58" i="1"/>
  <c r="D58" i="1"/>
  <c r="K54" i="1"/>
  <c r="I50" i="1"/>
  <c r="I54" i="1"/>
  <c r="H50" i="1"/>
  <c r="H54" i="1"/>
  <c r="G50" i="1"/>
  <c r="G54" i="1"/>
  <c r="E50" i="1"/>
  <c r="E54" i="1"/>
  <c r="D50" i="1"/>
  <c r="D54" i="1"/>
  <c r="C50" i="1"/>
  <c r="C54" i="1"/>
  <c r="I53" i="1"/>
  <c r="H44" i="1"/>
  <c r="H53" i="1"/>
  <c r="F44" i="1"/>
  <c r="F53" i="1"/>
  <c r="E44" i="1"/>
  <c r="E53" i="1"/>
  <c r="C44" i="1"/>
  <c r="C53" i="1"/>
  <c r="J51" i="1"/>
  <c r="J52" i="1"/>
  <c r="I51" i="1"/>
  <c r="I52" i="1"/>
  <c r="G51" i="1"/>
  <c r="F52" i="1"/>
  <c r="E51" i="1"/>
  <c r="E52" i="1"/>
  <c r="D51" i="1"/>
  <c r="I47" i="1"/>
  <c r="H47" i="1"/>
  <c r="E47" i="1"/>
  <c r="D47" i="1"/>
  <c r="C47" i="1"/>
  <c r="J46" i="1"/>
  <c r="H45" i="1"/>
  <c r="H46" i="1"/>
  <c r="F45" i="1"/>
  <c r="G46" i="1"/>
  <c r="C45" i="1"/>
  <c r="C46" i="1"/>
  <c r="H30" i="1"/>
  <c r="F21" i="1" a="1"/>
  <c r="F21" i="1"/>
  <c r="L21" i="1"/>
  <c r="Z38" i="1"/>
  <c r="F22" i="1"/>
  <c r="L22" i="1"/>
  <c r="F42" i="1"/>
  <c r="F43" i="1"/>
  <c r="G44" i="1"/>
  <c r="F23" i="1"/>
  <c r="L25" i="1"/>
  <c r="J42" i="1"/>
  <c r="H51" i="1"/>
  <c r="J43" i="1"/>
  <c r="J44" i="1"/>
  <c r="G45" i="1"/>
  <c r="G68" i="1"/>
  <c r="F59" i="1"/>
  <c r="R59" i="1"/>
  <c r="S59" i="1"/>
  <c r="AE59" i="1"/>
  <c r="AD59" i="1"/>
  <c r="F58" i="1"/>
  <c r="F25" i="1"/>
  <c r="L28" i="1"/>
  <c r="L42" i="1"/>
  <c r="L43" i="1"/>
  <c r="L58" i="1"/>
  <c r="P58" i="1"/>
  <c r="R58" i="1"/>
  <c r="Q58" i="1"/>
  <c r="AC58" i="1"/>
  <c r="AB58" i="1"/>
  <c r="AA58" i="1"/>
  <c r="Z58" i="1"/>
  <c r="R43" i="1"/>
  <c r="S43" i="1"/>
  <c r="AE43" i="1"/>
  <c r="AD43" i="1"/>
  <c r="P43" i="1"/>
  <c r="AB43" i="1"/>
  <c r="AA43" i="1"/>
  <c r="Z43" i="1"/>
  <c r="L47" i="1"/>
  <c r="L59" i="1"/>
  <c r="P59" i="1"/>
  <c r="Q59" i="1"/>
  <c r="AC59" i="1"/>
  <c r="AB59" i="1"/>
  <c r="AA59" i="1"/>
  <c r="Z59" i="1"/>
  <c r="S58" i="1"/>
  <c r="AE58" i="1"/>
  <c r="AD58" i="1"/>
  <c r="Q43" i="1"/>
  <c r="AC43" i="1"/>
  <c r="P42" i="1"/>
  <c r="R42" i="1"/>
  <c r="Q42" i="1"/>
  <c r="AC42" i="1"/>
  <c r="AD42" i="1"/>
  <c r="S42" i="1"/>
  <c r="AE42" i="1"/>
  <c r="AB42" i="1"/>
  <c r="AO64" i="1"/>
  <c r="AN64" i="1"/>
  <c r="AL64" i="1"/>
  <c r="AM64" i="1"/>
  <c r="AO42" i="1"/>
  <c r="AN42" i="1"/>
  <c r="AL42" i="1"/>
  <c r="AM42" i="1"/>
  <c r="K44" i="1"/>
  <c r="I45" i="1"/>
  <c r="K45" i="1"/>
  <c r="K68" i="1"/>
  <c r="X68" i="1"/>
  <c r="L44" i="1"/>
  <c r="L45" i="1"/>
  <c r="L68" i="1"/>
  <c r="U68" i="1"/>
  <c r="V68" i="1"/>
  <c r="AH68" i="1"/>
  <c r="W68" i="1"/>
  <c r="AI68" i="1"/>
  <c r="AJ68" i="1"/>
  <c r="AG68" i="1"/>
  <c r="K53" i="1"/>
  <c r="H52" i="1"/>
  <c r="K51" i="1"/>
  <c r="F51" i="1"/>
  <c r="K52" i="1"/>
  <c r="K64" i="1"/>
  <c r="G53" i="1"/>
  <c r="G52" i="1"/>
  <c r="G64" i="1"/>
  <c r="X64" i="1"/>
  <c r="L64" i="1"/>
  <c r="U64" i="1"/>
  <c r="V64" i="1"/>
  <c r="AH64" i="1"/>
  <c r="W64" i="1"/>
  <c r="AI64" i="1"/>
  <c r="AJ64" i="1"/>
  <c r="AG64" i="1"/>
  <c r="U58" i="1"/>
  <c r="V58" i="1"/>
  <c r="AH58" i="1"/>
  <c r="AG58" i="1"/>
  <c r="X44" i="1"/>
  <c r="U44" i="1"/>
  <c r="V44" i="1"/>
  <c r="AH44" i="1"/>
  <c r="W44" i="1"/>
  <c r="AI44" i="1"/>
  <c r="AJ44" i="1"/>
  <c r="AG44" i="1"/>
  <c r="J68" i="1"/>
  <c r="J59" i="1"/>
  <c r="I68" i="1"/>
  <c r="I59" i="1"/>
  <c r="J58" i="1"/>
  <c r="E68" i="1"/>
  <c r="D44" i="1"/>
  <c r="D45" i="1"/>
  <c r="D46" i="1"/>
  <c r="F46" i="1"/>
  <c r="K46" i="1"/>
  <c r="D59" i="1"/>
  <c r="D67" i="1"/>
  <c r="D68" i="1"/>
  <c r="E45" i="1"/>
  <c r="E46" i="1"/>
  <c r="E59" i="1"/>
  <c r="E67" i="1"/>
  <c r="J64" i="1"/>
  <c r="F63" i="1"/>
  <c r="D64" i="1"/>
  <c r="L63" i="1"/>
  <c r="J63" i="1"/>
  <c r="L57" i="1"/>
  <c r="L60" i="1"/>
  <c r="J57" i="1"/>
  <c r="J60" i="1"/>
  <c r="F57" i="1"/>
  <c r="F60" i="1"/>
  <c r="L50" i="1"/>
  <c r="L54" i="1"/>
  <c r="J50" i="1"/>
  <c r="J54" i="1"/>
  <c r="F50" i="1"/>
  <c r="F54" i="1"/>
  <c r="L53" i="1"/>
  <c r="J53" i="1"/>
  <c r="D53" i="1"/>
  <c r="L51" i="1"/>
  <c r="L52" i="1"/>
  <c r="D52" i="1"/>
  <c r="C51" i="1"/>
  <c r="C52" i="1"/>
  <c r="J47" i="1"/>
  <c r="F47" i="1"/>
  <c r="L46" i="1"/>
  <c r="I46" i="1"/>
  <c r="D32" i="1"/>
  <c r="L29" i="1"/>
  <c r="L30" i="1"/>
  <c r="C34" i="1"/>
  <c r="C35" i="1"/>
  <c r="F24" i="1"/>
  <c r="C36" i="1"/>
</calcChain>
</file>

<file path=xl/sharedStrings.xml><?xml version="1.0" encoding="utf-8"?>
<sst xmlns="http://schemas.openxmlformats.org/spreadsheetml/2006/main" count="767" uniqueCount="247">
  <si>
    <t xml:space="preserve">NOTES regarding tk:  </t>
    <phoneticPr fontId="1"/>
  </si>
  <si>
    <t>cpx = di+hd</t>
    <phoneticPr fontId="1"/>
  </si>
  <si>
    <t>opx = en+fs</t>
    <phoneticPr fontId="1"/>
  </si>
  <si>
    <t>Expresses total pyroxene</t>
    <phoneticPr fontId="1"/>
  </si>
  <si>
    <t>Related to cpx exclusively</t>
    <phoneticPr fontId="1"/>
  </si>
  <si>
    <t>cm</t>
  </si>
  <si>
    <t>tk</t>
  </si>
  <si>
    <t>Additive Comp.</t>
  </si>
  <si>
    <t>VECTORS</t>
  </si>
  <si>
    <t>V1</t>
  </si>
  <si>
    <t>V2</t>
  </si>
  <si>
    <t>Add this to any modal composition in the reaction polyhedron.</t>
  </si>
  <si>
    <t>Thompson comps.</t>
  </si>
  <si>
    <t>coordinates</t>
  </si>
  <si>
    <t>origin, pt. 0</t>
  </si>
  <si>
    <t>pt. 1</t>
  </si>
  <si>
    <t>pt. 2</t>
  </si>
  <si>
    <t>pt. 3</t>
  </si>
  <si>
    <t>pt. 4</t>
  </si>
  <si>
    <t>pt. 5 = pt. 1</t>
  </si>
  <si>
    <t>pt. 6</t>
  </si>
  <si>
    <t>pt. 7</t>
  </si>
  <si>
    <t>tk = 0 plane</t>
  </si>
  <si>
    <t>pt. 0</t>
  </si>
  <si>
    <t>qz</t>
    <phoneticPr fontId="1"/>
  </si>
  <si>
    <t>an</t>
    <phoneticPr fontId="1"/>
  </si>
  <si>
    <t>ab</t>
    <phoneticPr fontId="1"/>
  </si>
  <si>
    <t>or</t>
    <phoneticPr fontId="1"/>
  </si>
  <si>
    <t>ap</t>
    <phoneticPr fontId="1"/>
  </si>
  <si>
    <t>Basalt polytope</t>
    <phoneticPr fontId="1"/>
  </si>
  <si>
    <t>ENTER VALUES</t>
    <phoneticPr fontId="1"/>
  </si>
  <si>
    <t>basalt</t>
    <phoneticPr fontId="1"/>
  </si>
  <si>
    <t>(Mole %)</t>
    <phoneticPr fontId="1"/>
  </si>
  <si>
    <t>basalt polyhedron</t>
    <phoneticPr fontId="1"/>
  </si>
  <si>
    <t>"O" units</t>
    <phoneticPr fontId="1"/>
  </si>
  <si>
    <t>pt. 0</t>
    <phoneticPr fontId="1"/>
  </si>
  <si>
    <t>V3</t>
  </si>
  <si>
    <t>Plot V3-V1 at ky = 0</t>
  </si>
  <si>
    <t>V3-V1, Mj-limit (-tk limit on garnet)</t>
  </si>
  <si>
    <t>V3-V2, Mj-limit (-tk limit on garnet)</t>
  </si>
  <si>
    <t>Inaccessible,  -tk exceeds exchange capacity of Grt.</t>
  </si>
  <si>
    <t>In V3-V2 plot, region where V2 &lt; limit of "eclogite" is physically inaccessible.</t>
  </si>
  <si>
    <t>In V3-V1 plot, region where V1 &gt; 0 is physically inaccessible.</t>
  </si>
  <si>
    <t>Ca</t>
  </si>
  <si>
    <t>M</t>
  </si>
  <si>
    <t>Al</t>
  </si>
  <si>
    <t>Si</t>
  </si>
  <si>
    <t>[ ]</t>
  </si>
  <si>
    <t>Na</t>
  </si>
  <si>
    <t>A</t>
  </si>
  <si>
    <t>grt</t>
  </si>
  <si>
    <t>ky</t>
  </si>
  <si>
    <t>qz</t>
  </si>
  <si>
    <t>an</t>
  </si>
  <si>
    <t>px = cpx+opx</t>
  </si>
  <si>
    <t>X'</t>
  </si>
  <si>
    <t>cpx</t>
  </si>
  <si>
    <t>opx</t>
  </si>
  <si>
    <t>ab+or</t>
  </si>
  <si>
    <t>X</t>
  </si>
  <si>
    <t>px</t>
  </si>
  <si>
    <t>n(X')</t>
  </si>
  <si>
    <t>n(X)</t>
  </si>
  <si>
    <t xml:space="preserve"> = </t>
  </si>
  <si>
    <t>Calculate CMAS additive and exchange components for Qz-tholeiite</t>
  </si>
  <si>
    <t>cpx+opx</t>
  </si>
  <si>
    <t>Use procedure  NORM-dx or NORM-dm</t>
  </si>
  <si>
    <t>[Example is DR05-6, NORM-dx]</t>
  </si>
  <si>
    <t>Total</t>
  </si>
  <si>
    <t>ilm</t>
  </si>
  <si>
    <t>mag</t>
  </si>
  <si>
    <t>Origin pt. 0, Modal %</t>
  </si>
  <si>
    <r>
      <t>A</t>
    </r>
    <r>
      <rPr>
        <vertAlign val="superscript"/>
        <sz val="12"/>
        <color theme="1"/>
        <rFont val="Helvetica"/>
      </rPr>
      <t>-1</t>
    </r>
  </si>
  <si>
    <r>
      <t>Where tk &gt; 0, Px is aluminous, Grt remains stoichiometric M</t>
    </r>
    <r>
      <rPr>
        <vertAlign val="subscript"/>
        <sz val="12"/>
        <rFont val="Helvetica"/>
      </rPr>
      <t>3</t>
    </r>
    <r>
      <rPr>
        <sz val="12"/>
        <rFont val="Helvetica"/>
      </rPr>
      <t>A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3</t>
    </r>
    <r>
      <rPr>
        <sz val="12"/>
        <rFont val="Helvetica"/>
      </rPr>
      <t>O</t>
    </r>
    <r>
      <rPr>
        <vertAlign val="subscript"/>
        <sz val="12"/>
        <rFont val="Helvetica"/>
      </rPr>
      <t>12</t>
    </r>
    <r>
      <rPr>
        <sz val="12"/>
        <rFont val="Helvetica"/>
      </rPr>
      <t xml:space="preserve">.  </t>
    </r>
  </si>
  <si>
    <t>cm  = cpx/6</t>
  </si>
  <si>
    <r>
      <rPr>
        <sz val="12"/>
        <rFont val="Helvetica"/>
      </rPr>
      <t>Total</t>
    </r>
    <r>
      <rPr>
        <i/>
        <sz val="12"/>
        <rFont val="Helvetica"/>
      </rPr>
      <t>-Ilm-Mag-ap</t>
    </r>
  </si>
  <si>
    <t>ALERTS:</t>
  </si>
  <si>
    <t>There are all sorts of ways the procedure is not applicable to a particular bulk composition.</t>
  </si>
  <si>
    <r>
      <t>These</t>
    </r>
    <r>
      <rPr>
        <b/>
        <sz val="12"/>
        <color rgb="FFFF0000"/>
        <rFont val="Helvetica"/>
      </rPr>
      <t xml:space="preserve"> ALERTS</t>
    </r>
    <r>
      <rPr>
        <sz val="12"/>
        <rFont val="Helvetica"/>
      </rPr>
      <t xml:space="preserve"> identify the most common discrepancies.</t>
    </r>
  </si>
  <si>
    <t>pt. z</t>
  </si>
  <si>
    <t>pt. y</t>
  </si>
  <si>
    <t>pt. w, on 7-2</t>
  </si>
  <si>
    <t xml:space="preserve">pt. y </t>
  </si>
  <si>
    <t>pt. x, on 2-3</t>
  </si>
  <si>
    <t>Final Px, cations/6"O"</t>
  </si>
  <si>
    <t>Final Grt, cations/12"O"</t>
  </si>
  <si>
    <t>Final Pl, cations/8"O"</t>
  </si>
  <si>
    <t>Comp. Px, cats/6"O"</t>
  </si>
  <si>
    <t>Comp. Grt, cats/12"O"</t>
  </si>
  <si>
    <r>
      <t>On the tk = 0 plane, Grt stoichiometric M</t>
    </r>
    <r>
      <rPr>
        <vertAlign val="subscript"/>
        <sz val="12"/>
        <rFont val="Helvetica"/>
      </rPr>
      <t>3</t>
    </r>
    <r>
      <rPr>
        <sz val="12"/>
        <rFont val="Helvetica"/>
      </rPr>
      <t>A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3</t>
    </r>
    <r>
      <rPr>
        <sz val="12"/>
        <rFont val="Helvetica"/>
      </rPr>
      <t>O</t>
    </r>
    <r>
      <rPr>
        <vertAlign val="subscript"/>
        <sz val="12"/>
        <rFont val="Helvetica"/>
      </rPr>
      <t>12</t>
    </r>
    <r>
      <rPr>
        <sz val="12"/>
        <rFont val="Helvetica"/>
      </rPr>
      <t xml:space="preserve"> and Px is stoichiometric M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6</t>
    </r>
    <r>
      <rPr>
        <sz val="12"/>
        <rFont val="Helvetica"/>
      </rPr>
      <t xml:space="preserve">.  </t>
    </r>
  </si>
  <si>
    <r>
      <t>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>2/3</t>
    </r>
  </si>
  <si>
    <r>
      <t xml:space="preserve">less </t>
    </r>
    <r>
      <rPr>
        <i/>
        <sz val="12"/>
        <rFont val="Helvetica"/>
      </rPr>
      <t>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>2/3</t>
    </r>
    <r>
      <rPr>
        <sz val="12"/>
        <rFont val="Helvetica"/>
      </rPr>
      <t xml:space="preserve"> </t>
    </r>
  </si>
  <si>
    <r>
      <t>an</t>
    </r>
    <r>
      <rPr>
        <i/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i/>
        <vertAlign val="subscript"/>
        <sz val="12"/>
        <rFont val="Helvetica"/>
      </rPr>
      <t>2/3</t>
    </r>
  </si>
  <si>
    <r>
      <t>Where tk &lt; 0, Px is stoichiometric M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6</t>
    </r>
    <r>
      <rPr>
        <sz val="12"/>
        <rFont val="Helvetica"/>
      </rPr>
      <t>, Grthas excess Si (i.e., majoritic, &gt;3 Si pfu).</t>
    </r>
  </si>
  <si>
    <t>If there is an ALERT here, you will have to define a new set of additive components, and a new set of independent vectors,</t>
  </si>
  <si>
    <r>
      <t xml:space="preserve">   or try adjusting 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  <r>
      <rPr>
        <sz val="12"/>
        <rFont val="Helvetica"/>
      </rPr>
      <t>.</t>
    </r>
  </si>
  <si>
    <t>Plot V3-V2 plane at an = 0</t>
  </si>
  <si>
    <r>
      <rPr>
        <i/>
        <sz val="12"/>
        <rFont val="Helvetica"/>
      </rPr>
      <t>csk</t>
    </r>
    <r>
      <rPr>
        <vertAlign val="subscript"/>
        <sz val="12"/>
        <rFont val="Helvetica"/>
      </rPr>
      <t>1/2</t>
    </r>
    <r>
      <rPr>
        <i/>
        <sz val="12"/>
        <rFont val="Helvetica"/>
      </rPr>
      <t>jd</t>
    </r>
    <r>
      <rPr>
        <vertAlign val="subscript"/>
        <sz val="12"/>
        <rFont val="Helvetica"/>
      </rPr>
      <t>1/2</t>
    </r>
    <r>
      <rPr>
        <sz val="12"/>
        <rFont val="Helvetica"/>
      </rPr>
      <t xml:space="preserve"> = </t>
    </r>
    <r>
      <rPr>
        <i/>
        <sz val="12"/>
        <rFont val="Helvetica"/>
      </rPr>
      <t>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>2/3</t>
    </r>
  </si>
  <si>
    <r>
      <t>csk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>jd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>=an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>2/3</t>
    </r>
  </si>
  <si>
    <r>
      <t xml:space="preserve">"Ol-basalt-polyhedron" if </t>
    </r>
    <r>
      <rPr>
        <i/>
        <sz val="12"/>
        <color rgb="FFFF0000"/>
        <rFont val="Helvetica"/>
      </rPr>
      <t>qz</t>
    </r>
    <r>
      <rPr>
        <sz val="12"/>
        <color rgb="FFFF0000"/>
        <rFont val="Helvetica"/>
      </rPr>
      <t>&lt;0</t>
    </r>
  </si>
  <si>
    <r>
      <t xml:space="preserve">"Qz-basalt-polyhedron" if </t>
    </r>
    <r>
      <rPr>
        <i/>
        <sz val="12"/>
        <color rgb="FFFF0000"/>
        <rFont val="Helvetica"/>
      </rPr>
      <t>qz</t>
    </r>
    <r>
      <rPr>
        <sz val="12"/>
        <color rgb="FFFF0000"/>
        <rFont val="Helvetica"/>
      </rPr>
      <t>&gt;0</t>
    </r>
  </si>
  <si>
    <t xml:space="preserve">Use these values in </t>
  </si>
  <si>
    <t>total feldspar</t>
  </si>
  <si>
    <t>total pyroxene</t>
  </si>
  <si>
    <t>ap</t>
    <phoneticPr fontId="2" type="noConversion"/>
  </si>
  <si>
    <t>ap</t>
  </si>
  <si>
    <t>or</t>
    <phoneticPr fontId="2" type="noConversion"/>
  </si>
  <si>
    <t>or</t>
  </si>
  <si>
    <t>ab</t>
    <phoneticPr fontId="2" type="noConversion"/>
  </si>
  <si>
    <t>ab</t>
  </si>
  <si>
    <t>an</t>
    <phoneticPr fontId="2" type="noConversion"/>
  </si>
  <si>
    <t>ol</t>
    <phoneticPr fontId="2" type="noConversion"/>
  </si>
  <si>
    <t>OR</t>
    <phoneticPr fontId="2" type="noConversion"/>
  </si>
  <si>
    <t>qz</t>
    <phoneticPr fontId="2" type="noConversion"/>
  </si>
  <si>
    <t>opx</t>
    <phoneticPr fontId="2" type="noConversion"/>
  </si>
  <si>
    <t>opx = en+fs</t>
    <phoneticPr fontId="2" type="noConversion"/>
  </si>
  <si>
    <t>cpx</t>
    <phoneticPr fontId="2" type="noConversion"/>
  </si>
  <si>
    <t>cpx = di+hd</t>
    <phoneticPr fontId="2" type="noConversion"/>
  </si>
  <si>
    <t>% in 'O' units, ~ volume %</t>
  </si>
  <si>
    <t>n(X')</t>
    <phoneticPr fontId="2" type="noConversion"/>
  </si>
  <si>
    <t xml:space="preserve"> P</t>
    <phoneticPr fontId="2" type="noConversion"/>
  </si>
  <si>
    <t xml:space="preserve"> K</t>
    <phoneticPr fontId="2" type="noConversion"/>
  </si>
  <si>
    <t xml:space="preserve"> Na</t>
    <phoneticPr fontId="2" type="noConversion"/>
  </si>
  <si>
    <t xml:space="preserve"> Ca</t>
    <phoneticPr fontId="2" type="noConversion"/>
  </si>
  <si>
    <r>
      <t xml:space="preserve"> M=Fe</t>
    </r>
    <r>
      <rPr>
        <vertAlign val="superscript"/>
        <sz val="12"/>
        <rFont val="Helvetica"/>
      </rPr>
      <t>2+</t>
    </r>
    <r>
      <rPr>
        <sz val="12"/>
        <rFont val="Helvetica"/>
      </rPr>
      <t>+Mg+Mn</t>
    </r>
  </si>
  <si>
    <r>
      <t xml:space="preserve"> Fe</t>
    </r>
    <r>
      <rPr>
        <vertAlign val="superscript"/>
        <sz val="12"/>
        <rFont val="Helvetica"/>
      </rPr>
      <t>3+</t>
    </r>
  </si>
  <si>
    <t xml:space="preserve"> Al</t>
    <phoneticPr fontId="2" type="noConversion"/>
  </si>
  <si>
    <t xml:space="preserve"> Ti</t>
    <phoneticPr fontId="2" type="noConversion"/>
  </si>
  <si>
    <t xml:space="preserve"> Si</t>
    <phoneticPr fontId="2" type="noConversion"/>
  </si>
  <si>
    <t>n(X)</t>
    <phoneticPr fontId="2" type="noConversion"/>
  </si>
  <si>
    <r>
      <t>A</t>
    </r>
    <r>
      <rPr>
        <vertAlign val="superscript"/>
        <sz val="12"/>
        <rFont val="Helvetica"/>
      </rPr>
      <t>-T</t>
    </r>
  </si>
  <si>
    <t>P</t>
    <phoneticPr fontId="2" type="noConversion"/>
  </si>
  <si>
    <t>K</t>
    <phoneticPr fontId="2" type="noConversion"/>
  </si>
  <si>
    <t>Na</t>
    <phoneticPr fontId="2" type="noConversion"/>
  </si>
  <si>
    <t>Ca</t>
    <phoneticPr fontId="2" type="noConversion"/>
  </si>
  <si>
    <r>
      <t xml:space="preserve"> =Fe</t>
    </r>
    <r>
      <rPr>
        <vertAlign val="superscript"/>
        <sz val="12"/>
        <rFont val="Helvetica"/>
      </rPr>
      <t>2+</t>
    </r>
    <r>
      <rPr>
        <sz val="12"/>
        <rFont val="Helvetica"/>
      </rPr>
      <t>+Mg+Mn</t>
    </r>
  </si>
  <si>
    <t>M</t>
    <phoneticPr fontId="2" type="noConversion"/>
  </si>
  <si>
    <t xml:space="preserve"> =</t>
  </si>
  <si>
    <r>
      <t>Fe</t>
    </r>
    <r>
      <rPr>
        <vertAlign val="superscript"/>
        <sz val="12"/>
        <rFont val="Helvetica"/>
      </rPr>
      <t>3+</t>
    </r>
  </si>
  <si>
    <t>Al</t>
    <phoneticPr fontId="2" type="noConversion"/>
  </si>
  <si>
    <t>Ti</t>
    <phoneticPr fontId="2" type="noConversion"/>
  </si>
  <si>
    <t>Si</t>
    <phoneticPr fontId="2" type="noConversion"/>
  </si>
  <si>
    <t>X</t>
    <phoneticPr fontId="2" type="noConversion"/>
  </si>
  <si>
    <t>X'</t>
    <phoneticPr fontId="2" type="noConversion"/>
  </si>
  <si>
    <t>"O" units</t>
  </si>
  <si>
    <t>Sum</t>
  </si>
  <si>
    <t>P</t>
  </si>
  <si>
    <t>K</t>
  </si>
  <si>
    <t>Mg</t>
  </si>
  <si>
    <t>Mn</t>
  </si>
  <si>
    <r>
      <t>Fe</t>
    </r>
    <r>
      <rPr>
        <vertAlign val="superscript"/>
        <sz val="12"/>
        <rFont val="Helvetica"/>
      </rPr>
      <t>2+</t>
    </r>
  </si>
  <si>
    <r>
      <t>i.e.,  for end member Tre, []Ca</t>
    </r>
    <r>
      <rPr>
        <vertAlign val="subscript"/>
        <sz val="12"/>
        <rFont val="Helvetica"/>
      </rPr>
      <t>2</t>
    </r>
    <r>
      <rPr>
        <sz val="12"/>
        <rFont val="Helvetica"/>
      </rPr>
      <t>Mg</t>
    </r>
    <r>
      <rPr>
        <vertAlign val="subscript"/>
        <sz val="12"/>
        <rFont val="Helvetica"/>
      </rPr>
      <t>5</t>
    </r>
    <r>
      <rPr>
        <sz val="12"/>
        <rFont val="Helvetica"/>
      </rPr>
      <t>Si</t>
    </r>
    <r>
      <rPr>
        <vertAlign val="subscript"/>
        <sz val="12"/>
        <rFont val="Helvetica"/>
      </rPr>
      <t>8</t>
    </r>
    <r>
      <rPr>
        <sz val="12"/>
        <rFont val="Helvetica"/>
      </rPr>
      <t>O</t>
    </r>
    <r>
      <rPr>
        <vertAlign val="subscript"/>
        <sz val="12"/>
        <rFont val="Helvetica"/>
      </rPr>
      <t>22</t>
    </r>
    <r>
      <rPr>
        <sz val="12"/>
        <rFont val="Helvetica"/>
      </rPr>
      <t>(OH)</t>
    </r>
    <r>
      <rPr>
        <vertAlign val="subscript"/>
        <sz val="12"/>
        <rFont val="Helvetica"/>
      </rPr>
      <t>2</t>
    </r>
  </si>
  <si>
    <t>Ti</t>
  </si>
  <si>
    <r>
      <rPr>
        <sz val="12"/>
        <color rgb="FFFF0000"/>
        <rFont val="Helvetica"/>
      </rPr>
      <t>For Hbl</t>
    </r>
    <r>
      <rPr>
        <sz val="12"/>
        <rFont val="Helvetica"/>
      </rPr>
      <t>,  24 "O" per  16 non-H sites</t>
    </r>
  </si>
  <si>
    <t>cations/"O"</t>
  </si>
  <si>
    <r>
      <t>i.e., for end member Ep, Ca</t>
    </r>
    <r>
      <rPr>
        <vertAlign val="subscript"/>
        <sz val="12"/>
        <rFont val="Helvetica"/>
      </rPr>
      <t>2</t>
    </r>
    <r>
      <rPr>
        <sz val="12"/>
        <rFont val="Helvetica"/>
      </rPr>
      <t>FeAl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3</t>
    </r>
    <r>
      <rPr>
        <sz val="12"/>
        <rFont val="Helvetica"/>
      </rPr>
      <t>O</t>
    </r>
    <r>
      <rPr>
        <vertAlign val="subscript"/>
        <sz val="12"/>
        <rFont val="Helvetica"/>
      </rPr>
      <t>12</t>
    </r>
    <r>
      <rPr>
        <sz val="12"/>
        <rFont val="Helvetica"/>
      </rPr>
      <t>(OH)</t>
    </r>
  </si>
  <si>
    <r>
      <rPr>
        <sz val="12"/>
        <color rgb="FFFF0000"/>
        <rFont val="Helvetica"/>
      </rPr>
      <t>For Ep</t>
    </r>
    <r>
      <rPr>
        <sz val="12"/>
        <rFont val="Helvetica"/>
      </rPr>
      <t>, 13 "O" per 8 cations (excluding H)</t>
    </r>
  </si>
  <si>
    <t>Ky</t>
  </si>
  <si>
    <t>Qz</t>
  </si>
  <si>
    <t>Hbl</t>
  </si>
  <si>
    <t>Ep</t>
  </si>
  <si>
    <t>modal% Sym</t>
  </si>
  <si>
    <t>Grt</t>
  </si>
  <si>
    <t>%Cpx in Sym</t>
  </si>
  <si>
    <t>Pl</t>
  </si>
  <si>
    <t>%Pl in Sym</t>
  </si>
  <si>
    <t>Cpx</t>
  </si>
  <si>
    <t>symplectite</t>
  </si>
  <si>
    <t>Enter Modal %</t>
  </si>
  <si>
    <t>Enter Values, cations/"O"</t>
  </si>
  <si>
    <t>[Example is DR05-6]</t>
  </si>
  <si>
    <r>
      <t>NORM-dm expresses composition (modal %, mineral comp.) in terms of molar proportions of oxy-equivalent normative components (</t>
    </r>
    <r>
      <rPr>
        <i/>
        <sz val="12"/>
        <rFont val="Helvetica"/>
      </rPr>
      <t>cpx, opx, qz, an, ab, or, ilm, mag, ap</t>
    </r>
    <r>
      <rPr>
        <sz val="12"/>
        <rFont val="Helvetica"/>
      </rPr>
      <t>).</t>
    </r>
  </si>
  <si>
    <r>
      <t xml:space="preserve">In V3-V1 plot, region </t>
    </r>
    <r>
      <rPr>
        <sz val="12"/>
        <color rgb="FFFF0000"/>
        <rFont val="Helvetica"/>
      </rPr>
      <t>outlined by dotted line</t>
    </r>
    <r>
      <rPr>
        <sz val="12"/>
        <color theme="1"/>
        <rFont val="Helvetica"/>
      </rPr>
      <t xml:space="preserve"> is physically inaccessible</t>
    </r>
    <r>
      <rPr>
        <sz val="12"/>
        <color rgb="FFFF0000"/>
        <rFont val="Helvetica"/>
      </rPr>
      <t xml:space="preserve"> for Qz-bearing assemblages</t>
    </r>
    <r>
      <rPr>
        <sz val="12"/>
        <rFont val="Helvetica"/>
      </rPr>
      <t>.</t>
    </r>
  </si>
  <si>
    <r>
      <t xml:space="preserve">In V3-V2 plot, region </t>
    </r>
    <r>
      <rPr>
        <sz val="12"/>
        <color rgb="FFFF0000"/>
        <rFont val="Helvetica"/>
      </rPr>
      <t>outlined by dotted line</t>
    </r>
    <r>
      <rPr>
        <sz val="12"/>
        <rFont val="Helvetica"/>
      </rPr>
      <t xml:space="preserve"> is physically inaccessible</t>
    </r>
    <r>
      <rPr>
        <sz val="12"/>
        <color rgb="FFFF0000"/>
        <rFont val="Helvetica"/>
      </rPr>
      <t xml:space="preserve"> for Qz-bearing assemblages</t>
    </r>
    <r>
      <rPr>
        <sz val="12"/>
        <rFont val="Helvetica"/>
      </rPr>
      <t>.</t>
    </r>
  </si>
  <si>
    <r>
      <t>Where tk &lt; 0, Px is stoichiometric M</t>
    </r>
    <r>
      <rPr>
        <vertAlign val="subscript"/>
        <sz val="12"/>
        <rFont val="Helvetica"/>
      </rPr>
      <t>2</t>
    </r>
    <r>
      <rPr>
        <sz val="12"/>
        <rFont val="Helvetica"/>
      </rPr>
      <t>Si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6</t>
    </r>
    <r>
      <rPr>
        <sz val="12"/>
        <rFont val="Helvetica"/>
      </rPr>
      <t>, Grt has excess Si (i.e., majoritic, &gt;3 Si pfu).</t>
    </r>
  </si>
  <si>
    <t>Partition to Pl for pt. 6</t>
  </si>
  <si>
    <t>to Pl</t>
  </si>
  <si>
    <t>to Px</t>
  </si>
  <si>
    <r>
      <t>csk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>jd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>=an</t>
    </r>
    <r>
      <rPr>
        <i/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i/>
        <vertAlign val="subscript"/>
        <sz val="12"/>
        <rFont val="Helvetica"/>
      </rPr>
      <t>2/3</t>
    </r>
  </si>
  <si>
    <t>Partitioning for pt. 6</t>
  </si>
  <si>
    <r>
      <t xml:space="preserve">  or try adjusting 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  <r>
      <rPr>
        <sz val="12"/>
        <rFont val="Helvetica"/>
      </rPr>
      <t>.</t>
    </r>
  </si>
  <si>
    <r>
      <t>csk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>jd</t>
    </r>
    <r>
      <rPr>
        <i/>
        <vertAlign val="subscript"/>
        <sz val="12"/>
        <rFont val="Helvetica"/>
      </rPr>
      <t>1/2</t>
    </r>
    <r>
      <rPr>
        <i/>
        <sz val="12"/>
        <rFont val="Helvetica"/>
      </rPr>
      <t xml:space="preserve"> = 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>2/3</t>
    </r>
    <r>
      <rPr>
        <i/>
        <vertAlign val="subscript"/>
        <sz val="12"/>
        <rFont val="Helvetica"/>
      </rPr>
      <t xml:space="preserve"> </t>
    </r>
  </si>
  <si>
    <r>
      <t xml:space="preserve">less </t>
    </r>
    <r>
      <rPr>
        <i/>
        <sz val="12"/>
        <rFont val="Helvetica"/>
      </rPr>
      <t>an</t>
    </r>
    <r>
      <rPr>
        <vertAlign val="subscript"/>
        <sz val="12"/>
        <rFont val="Helvetica"/>
      </rPr>
      <t>1/3</t>
    </r>
    <r>
      <rPr>
        <i/>
        <sz val="12"/>
        <rFont val="Helvetica"/>
      </rPr>
      <t>ab</t>
    </r>
    <r>
      <rPr>
        <vertAlign val="subscript"/>
        <sz val="12"/>
        <rFont val="Helvetica"/>
      </rPr>
      <t xml:space="preserve">2/3 </t>
    </r>
  </si>
  <si>
    <t>cm = cpx/6</t>
  </si>
  <si>
    <r>
      <t>The graphics are good for Ol-normative bulk compositions, if there are no</t>
    </r>
    <r>
      <rPr>
        <b/>
        <sz val="12"/>
        <color rgb="FFFF0000"/>
        <rFont val="Helvetica"/>
      </rPr>
      <t xml:space="preserve"> ALERTS</t>
    </r>
    <r>
      <rPr>
        <sz val="12"/>
        <color rgb="FFFF0000"/>
        <rFont val="Helvetica"/>
      </rPr>
      <t>.</t>
    </r>
  </si>
  <si>
    <t xml:space="preserve">NOTE: This example is Ol-normative, and illustrates regions of modal space for Qz-bearing assemblages. </t>
  </si>
  <si>
    <t>[Example is DR00-6, NORM-dx]</t>
  </si>
  <si>
    <t>total anions</t>
  </si>
  <si>
    <t>ap</t>
    <phoneticPr fontId="1" type="noConversion"/>
  </si>
  <si>
    <t>or</t>
    <phoneticPr fontId="1" type="noConversion"/>
  </si>
  <si>
    <t>ab</t>
    <phoneticPr fontId="1" type="noConversion"/>
  </si>
  <si>
    <t>an</t>
    <phoneticPr fontId="1" type="noConversion"/>
  </si>
  <si>
    <t>ol</t>
    <phoneticPr fontId="1" type="noConversion"/>
  </si>
  <si>
    <t>OR</t>
    <phoneticPr fontId="1" type="noConversion"/>
  </si>
  <si>
    <t>qz</t>
    <phoneticPr fontId="1" type="noConversion"/>
  </si>
  <si>
    <t>opx</t>
    <phoneticPr fontId="1" type="noConversion"/>
  </si>
  <si>
    <t>opx = en+fs</t>
    <phoneticPr fontId="1" type="noConversion"/>
  </si>
  <si>
    <t>cpx</t>
    <phoneticPr fontId="1" type="noConversion"/>
  </si>
  <si>
    <t>cpx = di+hd</t>
    <phoneticPr fontId="1" type="noConversion"/>
  </si>
  <si>
    <t>n(X')</t>
    <phoneticPr fontId="1" type="noConversion"/>
  </si>
  <si>
    <t xml:space="preserve"> P</t>
    <phoneticPr fontId="1" type="noConversion"/>
  </si>
  <si>
    <t xml:space="preserve"> K</t>
    <phoneticPr fontId="1" type="noConversion"/>
  </si>
  <si>
    <t xml:space="preserve"> Na</t>
    <phoneticPr fontId="1" type="noConversion"/>
  </si>
  <si>
    <t xml:space="preserve"> Ca</t>
    <phoneticPr fontId="1" type="noConversion"/>
  </si>
  <si>
    <t xml:space="preserve"> Al</t>
    <phoneticPr fontId="1" type="noConversion"/>
  </si>
  <si>
    <t xml:space="preserve"> Ti</t>
    <phoneticPr fontId="1" type="noConversion"/>
  </si>
  <si>
    <t xml:space="preserve"> Si</t>
    <phoneticPr fontId="1" type="noConversion"/>
  </si>
  <si>
    <t>n(X)</t>
    <phoneticPr fontId="1" type="noConversion"/>
  </si>
  <si>
    <t>P</t>
    <phoneticPr fontId="1" type="noConversion"/>
  </si>
  <si>
    <t>K</t>
    <phoneticPr fontId="1" type="noConversion"/>
  </si>
  <si>
    <t>Na</t>
    <phoneticPr fontId="1" type="noConversion"/>
  </si>
  <si>
    <t>Ca</t>
    <phoneticPr fontId="1" type="noConversion"/>
  </si>
  <si>
    <t>M</t>
    <phoneticPr fontId="1" type="noConversion"/>
  </si>
  <si>
    <t>Al</t>
    <phoneticPr fontId="1" type="noConversion"/>
  </si>
  <si>
    <t>Ti</t>
    <phoneticPr fontId="1" type="noConversion"/>
  </si>
  <si>
    <t>Si</t>
    <phoneticPr fontId="1" type="noConversion"/>
  </si>
  <si>
    <t>X</t>
    <phoneticPr fontId="1" type="noConversion"/>
  </si>
  <si>
    <t>X'</t>
    <phoneticPr fontId="1" type="noConversion"/>
  </si>
  <si>
    <r>
      <t>P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5</t>
    </r>
  </si>
  <si>
    <r>
      <t>K</t>
    </r>
    <r>
      <rPr>
        <vertAlign val="subscript"/>
        <sz val="12"/>
        <rFont val="Helvetica"/>
      </rPr>
      <t>2</t>
    </r>
    <r>
      <rPr>
        <sz val="12"/>
        <rFont val="Helvetica"/>
      </rPr>
      <t>O</t>
    </r>
  </si>
  <si>
    <t>FeO</t>
    <phoneticPr fontId="1" type="noConversion"/>
  </si>
  <si>
    <r>
      <t>Na</t>
    </r>
    <r>
      <rPr>
        <vertAlign val="subscript"/>
        <sz val="12"/>
        <rFont val="Helvetica"/>
      </rPr>
      <t>2</t>
    </r>
    <r>
      <rPr>
        <sz val="12"/>
        <rFont val="Helvetica"/>
      </rPr>
      <t>O</t>
    </r>
  </si>
  <si>
    <t>desired amount</t>
    <phoneticPr fontId="1" type="noConversion"/>
  </si>
  <si>
    <r>
      <t>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</si>
  <si>
    <t>CaO</t>
  </si>
  <si>
    <r>
      <t>total Fe reported as 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</si>
  <si>
    <r>
      <t>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  <r>
      <rPr>
        <sz val="12"/>
        <rFont val="Helvetica"/>
      </rPr>
      <t>(T)</t>
    </r>
  </si>
  <si>
    <t>MgO</t>
  </si>
  <si>
    <t>MnO</t>
  </si>
  <si>
    <t>FeO</t>
  </si>
  <si>
    <t>total Fe reported as FeO</t>
    <phoneticPr fontId="1" type="noConversion"/>
  </si>
  <si>
    <t>FeO(T)</t>
  </si>
  <si>
    <r>
      <t>Al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</si>
  <si>
    <t>Enter values</t>
    <phoneticPr fontId="1" type="noConversion"/>
  </si>
  <si>
    <r>
      <t>TiO</t>
    </r>
    <r>
      <rPr>
        <vertAlign val="subscript"/>
        <sz val="12"/>
        <rFont val="Helvetica"/>
      </rPr>
      <t>2</t>
    </r>
  </si>
  <si>
    <r>
      <t>If Fe</t>
    </r>
    <r>
      <rPr>
        <vertAlign val="subscript"/>
        <sz val="12"/>
        <rFont val="Helvetica"/>
      </rPr>
      <t>2</t>
    </r>
    <r>
      <rPr>
        <sz val="12"/>
        <rFont val="Helvetica"/>
      </rPr>
      <t>0</t>
    </r>
    <r>
      <rPr>
        <vertAlign val="subscript"/>
        <sz val="12"/>
        <rFont val="Helvetica"/>
      </rPr>
      <t>3</t>
    </r>
    <r>
      <rPr>
        <sz val="12"/>
        <rFont val="Helvetica"/>
      </rPr>
      <t xml:space="preserve"> or FeO is unknown and you want to try likely values for 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  <r>
      <rPr>
        <sz val="12"/>
        <rFont val="Helvetica"/>
      </rPr>
      <t>:</t>
    </r>
  </si>
  <si>
    <r>
      <t>SiO</t>
    </r>
    <r>
      <rPr>
        <vertAlign val="subscript"/>
        <sz val="12"/>
        <rFont val="Helvetica"/>
      </rPr>
      <t>2</t>
    </r>
  </si>
  <si>
    <r>
      <t>Adjust Fe</t>
    </r>
    <r>
      <rPr>
        <vertAlign val="subscript"/>
        <sz val="12"/>
        <rFont val="Helvetica"/>
      </rPr>
      <t>2</t>
    </r>
    <r>
      <rPr>
        <sz val="12"/>
        <rFont val="Helvetica"/>
      </rPr>
      <t>O</t>
    </r>
    <r>
      <rPr>
        <vertAlign val="subscript"/>
        <sz val="12"/>
        <rFont val="Helvetica"/>
      </rPr>
      <t>3</t>
    </r>
    <r>
      <rPr>
        <sz val="12"/>
        <rFont val="Helvetica"/>
      </rPr>
      <t xml:space="preserve"> / FeO</t>
    </r>
  </si>
  <si>
    <t>cations</t>
  </si>
  <si>
    <t>moles</t>
  </si>
  <si>
    <t>a.w.</t>
  </si>
  <si>
    <t xml:space="preserve"> wt.%</t>
  </si>
  <si>
    <t>Enter Values</t>
    <phoneticPr fontId="1" type="noConversion"/>
  </si>
  <si>
    <r>
      <t>[Example is DR05-6 from bulk rock chemical analyses, assuming 3.5 wt% Fe</t>
    </r>
    <r>
      <rPr>
        <b/>
        <vertAlign val="subscript"/>
        <sz val="12"/>
        <color rgb="FFFF0000"/>
        <rFont val="Helvetica"/>
      </rPr>
      <t>2</t>
    </r>
    <r>
      <rPr>
        <b/>
        <sz val="12"/>
        <color rgb="FFFF0000"/>
        <rFont val="Helvetica"/>
      </rPr>
      <t>O</t>
    </r>
    <r>
      <rPr>
        <b/>
        <vertAlign val="subscript"/>
        <sz val="12"/>
        <color rgb="FFFF0000"/>
        <rFont val="Helvetica"/>
      </rPr>
      <t>3</t>
    </r>
    <r>
      <rPr>
        <b/>
        <sz val="12"/>
        <color rgb="FFFF0000"/>
        <rFont val="Helvetica"/>
      </rPr>
      <t>]</t>
    </r>
  </si>
  <si>
    <r>
      <t>NORM-dx expresses composition (wt. % oxides) in terms of molar proportions of oxy-equivalent normative components (</t>
    </r>
    <r>
      <rPr>
        <i/>
        <sz val="12"/>
        <rFont val="Helvetica"/>
      </rPr>
      <t>cpx, opx, qz, an, ab, or, ilm, mag, ap</t>
    </r>
    <r>
      <rPr>
        <sz val="12"/>
        <rFont val="Helvetica"/>
      </rPr>
      <t>).</t>
    </r>
  </si>
  <si>
    <t>NOTE: This example is Ol-normative.</t>
  </si>
  <si>
    <r>
      <t>Example is DR00-6 from bulk rock chemical analyses, assuming 3.5 wt% Fe</t>
    </r>
    <r>
      <rPr>
        <b/>
        <vertAlign val="subscript"/>
        <sz val="12"/>
        <color rgb="FFFF0000"/>
        <rFont val="Helvetica"/>
      </rPr>
      <t>2</t>
    </r>
    <r>
      <rPr>
        <b/>
        <sz val="12"/>
        <color rgb="FFFF0000"/>
        <rFont val="Helvetica"/>
      </rPr>
      <t>O</t>
    </r>
    <r>
      <rPr>
        <b/>
        <vertAlign val="subscript"/>
        <sz val="12"/>
        <color rgb="FFFF0000"/>
        <rFont val="Helvetica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</si>
</sst>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00000"/>
    <numFmt numFmtId="167" formatCode="0.0000000"/>
    <numFmt numFmtId="168" formatCode="0.00000000"/>
    <numFmt numFmtId="169" formatCode="0.00000"/>
  </numFmts>
  <fonts count="19">
    <font>
      <sz val="10"/>
      <name val="Geneva"/>
    </font>
    <font>
      <sz val="8"/>
      <name val="Geneva"/>
    </font>
    <font>
      <u/>
      <sz val="10"/>
      <color theme="10"/>
      <name val="Geneva"/>
    </font>
    <font>
      <u/>
      <sz val="10"/>
      <color theme="11"/>
      <name val="Geneva"/>
    </font>
    <font>
      <i/>
      <sz val="12"/>
      <color theme="1"/>
      <name val="Helvetica"/>
    </font>
    <font>
      <vertAlign val="superscript"/>
      <sz val="12"/>
      <color theme="1"/>
      <name val="Helvetica"/>
    </font>
    <font>
      <sz val="12"/>
      <name val="Helvetica"/>
    </font>
    <font>
      <i/>
      <sz val="12"/>
      <name val="Helvetica"/>
    </font>
    <font>
      <b/>
      <sz val="12"/>
      <color rgb="FFFF0000"/>
      <name val="Helvetica"/>
    </font>
    <font>
      <sz val="12"/>
      <color indexed="10"/>
      <name val="Helvetica"/>
    </font>
    <font>
      <sz val="12"/>
      <color rgb="FFFF0000"/>
      <name val="Helvetica"/>
    </font>
    <font>
      <b/>
      <sz val="12"/>
      <name val="Helvetica"/>
    </font>
    <font>
      <i/>
      <vertAlign val="subscript"/>
      <sz val="12"/>
      <name val="Helvetica"/>
    </font>
    <font>
      <i/>
      <sz val="12"/>
      <color rgb="FFFF0000"/>
      <name val="Helvetica"/>
    </font>
    <font>
      <vertAlign val="subscript"/>
      <sz val="12"/>
      <name val="Helvetica"/>
    </font>
    <font>
      <sz val="10"/>
      <name val="Times New Roman"/>
    </font>
    <font>
      <vertAlign val="superscript"/>
      <sz val="12"/>
      <name val="Helvetica"/>
    </font>
    <font>
      <sz val="12"/>
      <color theme="1"/>
      <name val="Helvetica"/>
    </font>
    <font>
      <b/>
      <vertAlign val="subscript"/>
      <sz val="12"/>
      <color rgb="FFFF0000"/>
      <name val="Helvetica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B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0" borderId="0"/>
  </cellStyleXfs>
  <cellXfs count="97">
    <xf numFmtId="0" fontId="0" fillId="0" borderId="0" xfId="0"/>
    <xf numFmtId="0" fontId="4" fillId="0" borderId="0" xfId="0" applyFont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/>
    <xf numFmtId="15" fontId="6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7" fillId="0" borderId="1" xfId="0" applyFont="1" applyFill="1" applyBorder="1" applyAlignment="1">
      <alignment horizontal="right"/>
    </xf>
    <xf numFmtId="0" fontId="6" fillId="8" borderId="1" xfId="0" applyFont="1" applyFill="1" applyBorder="1"/>
    <xf numFmtId="2" fontId="6" fillId="2" borderId="1" xfId="0" applyNumberFormat="1" applyFont="1" applyFill="1" applyBorder="1"/>
    <xf numFmtId="0" fontId="7" fillId="5" borderId="1" xfId="0" applyFont="1" applyFill="1" applyBorder="1" applyAlignment="1">
      <alignment horizontal="right"/>
    </xf>
    <xf numFmtId="2" fontId="6" fillId="8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6" fillId="7" borderId="1" xfId="0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/>
    </xf>
    <xf numFmtId="2" fontId="6" fillId="0" borderId="0" xfId="0" applyNumberFormat="1" applyFont="1"/>
    <xf numFmtId="0" fontId="7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/>
    <xf numFmtId="0" fontId="7" fillId="0" borderId="0" xfId="0" applyFont="1" applyAlignment="1">
      <alignment horizontal="right"/>
    </xf>
    <xf numFmtId="165" fontId="6" fillId="5" borderId="1" xfId="0" applyNumberFormat="1" applyFont="1" applyFill="1" applyBorder="1"/>
    <xf numFmtId="0" fontId="13" fillId="0" borderId="0" xfId="0" applyFont="1" applyAlignment="1">
      <alignment horizontal="right"/>
    </xf>
    <xf numFmtId="165" fontId="10" fillId="5" borderId="1" xfId="0" applyNumberFormat="1" applyFont="1" applyFill="1" applyBorder="1"/>
    <xf numFmtId="165" fontId="6" fillId="7" borderId="1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10" fillId="0" borderId="0" xfId="0" applyFont="1" applyAlignment="1">
      <alignment horizontal="right"/>
    </xf>
    <xf numFmtId="165" fontId="10" fillId="2" borderId="1" xfId="0" applyNumberFormat="1" applyFont="1" applyFill="1" applyBorder="1"/>
    <xf numFmtId="165" fontId="6" fillId="2" borderId="2" xfId="0" applyNumberFormat="1" applyFont="1" applyFill="1" applyBorder="1" applyAlignment="1">
      <alignment horizontal="right"/>
    </xf>
    <xf numFmtId="165" fontId="6" fillId="0" borderId="0" xfId="0" applyNumberFormat="1" applyFont="1"/>
    <xf numFmtId="165" fontId="6" fillId="5" borderId="1" xfId="0" applyNumberFormat="1" applyFont="1" applyFill="1" applyBorder="1" applyAlignment="1">
      <alignment horizontal="right"/>
    </xf>
    <xf numFmtId="164" fontId="6" fillId="0" borderId="0" xfId="0" applyNumberFormat="1" applyFont="1"/>
    <xf numFmtId="2" fontId="6" fillId="6" borderId="1" xfId="0" applyNumberFormat="1" applyFont="1" applyFill="1" applyBorder="1"/>
    <xf numFmtId="0" fontId="7" fillId="0" borderId="0" xfId="0" applyFont="1"/>
    <xf numFmtId="0" fontId="6" fillId="0" borderId="0" xfId="0" applyFont="1" applyFill="1"/>
    <xf numFmtId="2" fontId="6" fillId="0" borderId="0" xfId="0" applyNumberFormat="1" applyFont="1" applyAlignment="1">
      <alignment horizontal="center"/>
    </xf>
    <xf numFmtId="0" fontId="6" fillId="5" borderId="0" xfId="0" applyFont="1" applyFill="1"/>
    <xf numFmtId="2" fontId="6" fillId="5" borderId="0" xfId="0" applyNumberFormat="1" applyFont="1" applyFill="1"/>
    <xf numFmtId="0" fontId="6" fillId="3" borderId="0" xfId="0" applyFont="1" applyFill="1"/>
    <xf numFmtId="0" fontId="6" fillId="8" borderId="0" xfId="0" applyFont="1" applyFill="1"/>
    <xf numFmtId="0" fontId="6" fillId="4" borderId="0" xfId="0" applyFont="1" applyFill="1"/>
    <xf numFmtId="0" fontId="7" fillId="0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8" fillId="9" borderId="0" xfId="0" applyNumberFormat="1" applyFont="1" applyFill="1"/>
    <xf numFmtId="0" fontId="6" fillId="9" borderId="0" xfId="0" applyFont="1" applyFill="1"/>
    <xf numFmtId="0" fontId="8" fillId="9" borderId="0" xfId="0" applyFont="1" applyFill="1"/>
    <xf numFmtId="164" fontId="6" fillId="6" borderId="1" xfId="0" applyNumberFormat="1" applyFont="1" applyFill="1" applyBorder="1"/>
    <xf numFmtId="0" fontId="6" fillId="0" borderId="0" xfId="99" applyFont="1"/>
    <xf numFmtId="0" fontId="10" fillId="0" borderId="0" xfId="99" applyFont="1"/>
    <xf numFmtId="2" fontId="6" fillId="0" borderId="0" xfId="99" applyNumberFormat="1" applyFont="1"/>
    <xf numFmtId="0" fontId="6" fillId="0" borderId="0" xfId="99" applyFont="1" applyAlignment="1">
      <alignment horizontal="right"/>
    </xf>
    <xf numFmtId="164" fontId="6" fillId="0" borderId="0" xfId="99" applyNumberFormat="1" applyFont="1"/>
    <xf numFmtId="0" fontId="7" fillId="0" borderId="4" xfId="99" applyFont="1" applyBorder="1" applyAlignment="1">
      <alignment horizontal="left"/>
    </xf>
    <xf numFmtId="2" fontId="6" fillId="2" borderId="5" xfId="99" applyNumberFormat="1" applyFont="1" applyFill="1" applyBorder="1"/>
    <xf numFmtId="0" fontId="7" fillId="0" borderId="0" xfId="99" applyFont="1" applyAlignment="1">
      <alignment horizontal="left"/>
    </xf>
    <xf numFmtId="2" fontId="6" fillId="7" borderId="1" xfId="99" applyNumberFormat="1" applyFont="1" applyFill="1" applyBorder="1"/>
    <xf numFmtId="0" fontId="7" fillId="0" borderId="0" xfId="99" applyFont="1" applyAlignment="1">
      <alignment horizontal="right"/>
    </xf>
    <xf numFmtId="2" fontId="6" fillId="3" borderId="5" xfId="99" applyNumberFormat="1" applyFont="1" applyFill="1" applyBorder="1"/>
    <xf numFmtId="0" fontId="11" fillId="0" borderId="0" xfId="99" applyFont="1" applyAlignment="1">
      <alignment horizontal="center"/>
    </xf>
    <xf numFmtId="2" fontId="6" fillId="3" borderId="1" xfId="99" applyNumberFormat="1" applyFont="1" applyFill="1" applyBorder="1"/>
    <xf numFmtId="0" fontId="6" fillId="0" borderId="0" xfId="99" applyFont="1" applyAlignment="1">
      <alignment horizontal="center"/>
    </xf>
    <xf numFmtId="0" fontId="6" fillId="0" borderId="0" xfId="99" applyFont="1" applyAlignment="1">
      <alignment horizontal="left"/>
    </xf>
    <xf numFmtId="165" fontId="6" fillId="7" borderId="1" xfId="99" applyNumberFormat="1" applyFont="1" applyFill="1" applyBorder="1" applyAlignment="1">
      <alignment horizontal="center"/>
    </xf>
    <xf numFmtId="0" fontId="6" fillId="3" borderId="1" xfId="99" applyFont="1" applyFill="1" applyBorder="1"/>
    <xf numFmtId="0" fontId="7" fillId="3" borderId="1" xfId="99" applyFont="1" applyFill="1" applyBorder="1" applyAlignment="1">
      <alignment horizontal="center"/>
    </xf>
    <xf numFmtId="0" fontId="6" fillId="3" borderId="1" xfId="99" applyFont="1" applyFill="1" applyBorder="1" applyAlignment="1">
      <alignment horizontal="center"/>
    </xf>
    <xf numFmtId="0" fontId="11" fillId="0" borderId="0" xfId="99" applyFont="1"/>
    <xf numFmtId="166" fontId="6" fillId="0" borderId="0" xfId="99" applyNumberFormat="1" applyFont="1"/>
    <xf numFmtId="166" fontId="6" fillId="7" borderId="1" xfId="99" applyNumberFormat="1" applyFont="1" applyFill="1" applyBorder="1"/>
    <xf numFmtId="167" fontId="6" fillId="0" borderId="0" xfId="99" applyNumberFormat="1" applyFont="1"/>
    <xf numFmtId="0" fontId="6" fillId="10" borderId="1" xfId="99" applyFont="1" applyFill="1" applyBorder="1"/>
    <xf numFmtId="167" fontId="6" fillId="10" borderId="1" xfId="99" applyNumberFormat="1" applyFont="1" applyFill="1" applyBorder="1"/>
    <xf numFmtId="0" fontId="7" fillId="0" borderId="0" xfId="99" applyFont="1" applyAlignment="1">
      <alignment horizontal="center"/>
    </xf>
    <xf numFmtId="168" fontId="6" fillId="10" borderId="1" xfId="99" applyNumberFormat="1" applyFont="1" applyFill="1" applyBorder="1"/>
    <xf numFmtId="0" fontId="8" fillId="0" borderId="0" xfId="99" applyFont="1"/>
    <xf numFmtId="0" fontId="6" fillId="6" borderId="6" xfId="0" applyFont="1" applyFill="1" applyBorder="1"/>
    <xf numFmtId="0" fontId="6" fillId="0" borderId="7" xfId="0" applyFont="1" applyBorder="1"/>
    <xf numFmtId="0" fontId="6" fillId="0" borderId="8" xfId="0" applyFont="1" applyBorder="1"/>
    <xf numFmtId="165" fontId="6" fillId="0" borderId="1" xfId="0" applyNumberFormat="1" applyFont="1" applyBorder="1"/>
    <xf numFmtId="164" fontId="6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center"/>
    </xf>
    <xf numFmtId="165" fontId="6" fillId="3" borderId="1" xfId="99" applyNumberFormat="1" applyFont="1" applyFill="1" applyBorder="1" applyAlignment="1">
      <alignment horizontal="center"/>
    </xf>
    <xf numFmtId="169" fontId="6" fillId="0" borderId="0" xfId="99" applyNumberFormat="1" applyFont="1"/>
    <xf numFmtId="0" fontId="6" fillId="2" borderId="1" xfId="99" applyFont="1" applyFill="1" applyBorder="1"/>
    <xf numFmtId="0" fontId="6" fillId="0" borderId="1" xfId="99" applyFont="1" applyBorder="1"/>
    <xf numFmtId="2" fontId="6" fillId="2" borderId="1" xfId="99" applyNumberFormat="1" applyFont="1" applyFill="1" applyBorder="1"/>
    <xf numFmtId="2" fontId="6" fillId="0" borderId="1" xfId="99" applyNumberFormat="1" applyFont="1" applyBorder="1"/>
  </cellXfs>
  <cellStyles count="10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  <cellStyle name="Normal 2" xfId="99" xr:uid="{EE9DBEBB-1697-4FB2-9F40-AAEF359C6416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r>
              <a:rPr lang="en-US"/>
              <a:t>Basalt</a:t>
            </a:r>
          </a:p>
        </c:rich>
      </c:tx>
      <c:layout>
        <c:manualLayout>
          <c:xMode val="edge"/>
          <c:yMode val="edge"/>
          <c:x val="0.34862457559777499"/>
          <c:y val="3.1161473087818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096049218337501"/>
          <c:y val="0.11898032435682999"/>
          <c:w val="0.415068983723973"/>
          <c:h val="0.79380452145152502"/>
        </c:manualLayout>
      </c:layout>
      <c:scatterChart>
        <c:scatterStyle val="lineMarker"/>
        <c:varyColors val="0"/>
        <c:ser>
          <c:idx val="0"/>
          <c:order val="0"/>
          <c:tx>
            <c:v>basalt</c:v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('Qz-basalt-polyhedron'!$E$43,'Qz-basalt-polyhedron'!$E$44,'Qz-basalt-polyhedron'!$E$68,'Qz-basalt-polyhedron'!$E$67,'Qz-basalt-polyhedron'!$E$43)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-10.072795596131504</c:v>
                </c:pt>
                <c:pt idx="3">
                  <c:v>-10.072795596131504</c:v>
                </c:pt>
                <c:pt idx="4">
                  <c:v>0</c:v>
                </c:pt>
              </c:numCache>
            </c:numRef>
          </c:xVal>
          <c:yVal>
            <c:numRef>
              <c:f>('Qz-basalt-polyhedron'!$D$43,'Qz-basalt-polyhedron'!$D$44,'Qz-basalt-polyhedron'!$D$68,'Qz-basalt-polyhedron'!$D$67,'Qz-basalt-polyhedron'!$D$43)</c:f>
              <c:numCache>
                <c:formatCode>General</c:formatCode>
                <c:ptCount val="5"/>
                <c:pt idx="0">
                  <c:v>0</c:v>
                </c:pt>
                <c:pt idx="1">
                  <c:v>-46.397547638648192</c:v>
                </c:pt>
                <c:pt idx="2">
                  <c:v>-46.397547638648192</c:v>
                </c:pt>
                <c:pt idx="3">
                  <c:v>-6.043677357678904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701-42BB-A982-E70888231B2D}"/>
            </c:ext>
          </c:extLst>
        </c:ser>
        <c:ser>
          <c:idx val="1"/>
          <c:order val="1"/>
          <c:tx>
            <c:v>tk = 0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'Qz-basalt-polyhedron'!$E$58:$E$59</c:f>
              <c:numCache>
                <c:formatCode>General</c:formatCode>
                <c:ptCount val="2"/>
                <c:pt idx="0">
                  <c:v>0</c:v>
                </c:pt>
                <c:pt idx="1">
                  <c:v>-10.072795596131504</c:v>
                </c:pt>
              </c:numCache>
            </c:numRef>
          </c:xVal>
          <c:yVal>
            <c:numRef>
              <c:f>'Qz-basalt-polyhedron'!$D$58:$D$59</c:f>
              <c:numCache>
                <c:formatCode>General</c:formatCode>
                <c:ptCount val="2"/>
                <c:pt idx="0">
                  <c:v>-24.174709430715613</c:v>
                </c:pt>
                <c:pt idx="1">
                  <c:v>-6.043677357678904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701-42BB-A982-E70888231B2D}"/>
            </c:ext>
          </c:extLst>
        </c:ser>
        <c:ser>
          <c:idx val="2"/>
          <c:order val="2"/>
          <c:tx>
            <c:v>inaccessible</c:v>
          </c:tx>
          <c:spPr>
            <a:ln w="254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('Qz-basalt-polyhedron'!$E$68,'Qz-basalt-polyhedron'!$E$45,'Qz-basalt-polyhedron'!$E$46,'Qz-basalt-polyhedron'!$E$67)</c:f>
              <c:numCache>
                <c:formatCode>General</c:formatCode>
                <c:ptCount val="4"/>
                <c:pt idx="0">
                  <c:v>-10.072795596131504</c:v>
                </c:pt>
                <c:pt idx="1">
                  <c:v>-21.80634224651574</c:v>
                </c:pt>
                <c:pt idx="2">
                  <c:v>-21.80634224651574</c:v>
                </c:pt>
                <c:pt idx="3">
                  <c:v>-10.072795596131504</c:v>
                </c:pt>
              </c:numCache>
            </c:numRef>
          </c:xVal>
          <c:yVal>
            <c:numRef>
              <c:f>('Qz-basalt-polyhedron'!$D$68,'Qz-basalt-polyhedron'!$D$45,'Qz-basalt-polyhedron'!$D$46,'Qz-basalt-polyhedron'!$D$67)</c:f>
              <c:numCache>
                <c:formatCode>General</c:formatCode>
                <c:ptCount val="4"/>
                <c:pt idx="0">
                  <c:v>-46.397547638648192</c:v>
                </c:pt>
                <c:pt idx="1">
                  <c:v>-46.397547638648192</c:v>
                </c:pt>
                <c:pt idx="2">
                  <c:v>-13.083805347909447</c:v>
                </c:pt>
                <c:pt idx="3">
                  <c:v>-6.043677357678904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701-42BB-A982-E70888231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8489096"/>
        <c:axId val="-2122058552"/>
      </c:scatterChart>
      <c:valAx>
        <c:axId val="-2128489096"/>
        <c:scaling>
          <c:orientation val="minMax"/>
          <c:max val="0"/>
          <c:min val="-3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Geneva"/>
                    <a:ea typeface="Geneva"/>
                    <a:cs typeface="Geneva"/>
                  </a:defRPr>
                </a:pPr>
                <a:r>
                  <a:rPr lang="en-US" sz="1200"/>
                  <a:t>V2</a:t>
                </a:r>
              </a:p>
            </c:rich>
          </c:tx>
          <c:layout>
            <c:manualLayout>
              <c:xMode val="edge"/>
              <c:yMode val="edge"/>
              <c:x val="0.36426298753472097"/>
              <c:y val="0.929180463420593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2058552"/>
        <c:crossesAt val="0"/>
        <c:crossBetween val="midCat"/>
        <c:majorUnit val="10"/>
        <c:minorUnit val="10"/>
      </c:valAx>
      <c:valAx>
        <c:axId val="-2122058552"/>
        <c:scaling>
          <c:orientation val="minMax"/>
          <c:max val="0"/>
          <c:min val="-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Geneva"/>
                    <a:ea typeface="Geneva"/>
                    <a:cs typeface="Geneva"/>
                  </a:defRPr>
                </a:pPr>
                <a:r>
                  <a:rPr lang="en-US" sz="1200"/>
                  <a:t>V3</a:t>
                </a:r>
              </a:p>
            </c:rich>
          </c:tx>
          <c:layout>
            <c:manualLayout>
              <c:xMode val="edge"/>
              <c:yMode val="edge"/>
              <c:x val="9.9291568145818507E-2"/>
              <c:y val="0.4362411440813330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8489096"/>
        <c:crossesAt val="0"/>
        <c:crossBetween val="midCat"/>
        <c:majorUnit val="10"/>
        <c:minorUnit val="10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315236105690902"/>
          <c:y val="0.32564467329412"/>
          <c:w val="0.295754403531928"/>
          <c:h val="0.183675135508911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r>
              <a:rPr lang="en-US"/>
              <a:t>Basalt</a:t>
            </a:r>
          </a:p>
        </c:rich>
      </c:tx>
      <c:layout>
        <c:manualLayout>
          <c:xMode val="edge"/>
          <c:yMode val="edge"/>
          <c:x val="0.341513936524805"/>
          <c:y val="3.1161473087818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596666283103"/>
          <c:y val="0.11932283464566899"/>
          <c:w val="0.62344352571794903"/>
          <c:h val="0.78753697218442598"/>
        </c:manualLayout>
      </c:layout>
      <c:scatterChart>
        <c:scatterStyle val="lineMarker"/>
        <c:varyColors val="0"/>
        <c:ser>
          <c:idx val="3"/>
          <c:order val="0"/>
          <c:tx>
            <c:v>basalt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('Qz-basalt-polyhedron'!$C$63,'Qz-basalt-polyhedron'!$C$64,'Qz-basalt-polyhedron'!$C$53,'Qz-basalt-polyhedron'!$C$54,'Qz-basalt-polyhedron'!$C$63)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-16.116472953810408</c:v>
                </c:pt>
                <c:pt idx="3">
                  <c:v>-16.116472953810408</c:v>
                </c:pt>
                <c:pt idx="4">
                  <c:v>0</c:v>
                </c:pt>
              </c:numCache>
            </c:numRef>
          </c:xVal>
          <c:yVal>
            <c:numRef>
              <c:f>('Qz-basalt-polyhedron'!$D$63,'Qz-basalt-polyhedron'!$D$64,'Qz-basalt-polyhedron'!$D$53,'Qz-basalt-polyhedron'!$D$54,'Qz-basalt-polyhedron'!$D$63)</c:f>
              <c:numCache>
                <c:formatCode>General</c:formatCode>
                <c:ptCount val="5"/>
                <c:pt idx="0">
                  <c:v>0</c:v>
                </c:pt>
                <c:pt idx="1">
                  <c:v>-34.310192923290387</c:v>
                </c:pt>
                <c:pt idx="2">
                  <c:v>-46.397547638648192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108-4D6D-A7B6-973E6ABA8B80}"/>
            </c:ext>
          </c:extLst>
        </c:ser>
        <c:ser>
          <c:idx val="1"/>
          <c:order val="1"/>
          <c:tx>
            <c:v>tk = 0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'Qz-basalt-polyhedron'!$C$57:$C$58</c:f>
              <c:numCache>
                <c:formatCode>General</c:formatCode>
                <c:ptCount val="2"/>
                <c:pt idx="0">
                  <c:v>0</c:v>
                </c:pt>
                <c:pt idx="1">
                  <c:v>-16.116472953810408</c:v>
                </c:pt>
              </c:numCache>
            </c:numRef>
          </c:xVal>
          <c:yVal>
            <c:numRef>
              <c:f>'Qz-basalt-polyhedron'!$D$57:$D$58</c:f>
              <c:numCache>
                <c:formatCode>General</c:formatCode>
                <c:ptCount val="2"/>
                <c:pt idx="0">
                  <c:v>0</c:v>
                </c:pt>
                <c:pt idx="1">
                  <c:v>-24.174709430715613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108-4D6D-A7B6-973E6ABA8B80}"/>
            </c:ext>
          </c:extLst>
        </c:ser>
        <c:ser>
          <c:idx val="0"/>
          <c:order val="2"/>
          <c:tx>
            <c:v>inaccessible</c:v>
          </c:tx>
          <c:spPr>
            <a:ln w="254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('Qz-basalt-polyhedron'!$C$63,'Qz-basalt-polyhedron'!$C$51,'Qz-basalt-polyhedron'!$C$52,'Qz-basalt-polyhedron'!$C$64)</c:f>
              <c:numCache>
                <c:formatCode>General</c:formatCode>
                <c:ptCount val="4"/>
                <c:pt idx="0">
                  <c:v>0</c:v>
                </c:pt>
                <c:pt idx="1">
                  <c:v>18.773674640614782</c:v>
                </c:pt>
                <c:pt idx="2">
                  <c:v>18.773674640614782</c:v>
                </c:pt>
                <c:pt idx="3">
                  <c:v>0</c:v>
                </c:pt>
              </c:numCache>
            </c:numRef>
          </c:xVal>
          <c:yVal>
            <c:numRef>
              <c:f>('Qz-basalt-polyhedron'!$D$63,'Qz-basalt-polyhedron'!$D$51,'Qz-basalt-polyhedron'!$D$52,'Qz-basalt-polyhedron'!$D$64)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-20.229936942829301</c:v>
                </c:pt>
                <c:pt idx="3">
                  <c:v>-34.310192923290387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108-4D6D-A7B6-973E6ABA8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2902200"/>
        <c:axId val="-2121519544"/>
      </c:scatterChart>
      <c:valAx>
        <c:axId val="-2132902200"/>
        <c:scaling>
          <c:orientation val="minMax"/>
          <c:max val="30"/>
          <c:min val="-3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Geneva"/>
                    <a:ea typeface="Geneva"/>
                    <a:cs typeface="Geneva"/>
                  </a:defRPr>
                </a:pPr>
                <a:r>
                  <a:rPr lang="en-US" sz="1200"/>
                  <a:t>V1</a:t>
                </a:r>
              </a:p>
            </c:rich>
          </c:tx>
          <c:layout>
            <c:manualLayout>
              <c:xMode val="edge"/>
              <c:yMode val="edge"/>
              <c:x val="0.37423377292562299"/>
              <c:y val="0.932013338984185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1519544"/>
        <c:crossesAt val="0"/>
        <c:crossBetween val="midCat"/>
        <c:majorUnit val="10"/>
        <c:minorUnit val="10"/>
      </c:valAx>
      <c:valAx>
        <c:axId val="-2121519544"/>
        <c:scaling>
          <c:orientation val="minMax"/>
          <c:max val="0"/>
          <c:min val="-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Geneva"/>
                    <a:ea typeface="Geneva"/>
                    <a:cs typeface="Geneva"/>
                  </a:defRPr>
                </a:pPr>
                <a:r>
                  <a:rPr lang="en-US" sz="1200"/>
                  <a:t>V3</a:t>
                </a:r>
              </a:p>
            </c:rich>
          </c:tx>
          <c:layout>
            <c:manualLayout>
              <c:xMode val="edge"/>
              <c:yMode val="edge"/>
              <c:x val="3.10163891308993E-2"/>
              <c:y val="0.4622092238470190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32902200"/>
        <c:crossesAt val="0"/>
        <c:crossBetween val="midCat"/>
        <c:majorUnit val="10"/>
        <c:minorUnit val="10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599801890435303"/>
          <c:y val="0.32385095613048398"/>
          <c:w val="0.238154855643045"/>
          <c:h val="0.189340857888515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r>
              <a:rPr lang="en-US"/>
              <a:t>Basalt</a:t>
            </a:r>
          </a:p>
        </c:rich>
      </c:tx>
      <c:layout>
        <c:manualLayout>
          <c:xMode val="edge"/>
          <c:yMode val="edge"/>
          <c:x val="0.34862457559777499"/>
          <c:y val="3.1161473087818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450384491412301"/>
          <c:y val="9.7500610753011502E-2"/>
          <c:w val="0.41405005295390701"/>
          <c:h val="0.79619115629639403"/>
        </c:manualLayout>
      </c:layout>
      <c:scatterChart>
        <c:scatterStyle val="lineMarker"/>
        <c:varyColors val="0"/>
        <c:ser>
          <c:idx val="0"/>
          <c:order val="0"/>
          <c:tx>
            <c:v>basalt</c:v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'Ol-basalt-polyhedron'!$E$43:$E$47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-2.8901696436524826</c:v>
                </c:pt>
                <c:pt idx="3">
                  <c:v>-2.8901696436524826</c:v>
                </c:pt>
                <c:pt idx="4">
                  <c:v>0</c:v>
                </c:pt>
              </c:numCache>
            </c:numRef>
          </c:xVal>
          <c:yVal>
            <c:numRef>
              <c:f>'Ol-basalt-polyhedron'!$D$43:$D$47</c:f>
              <c:numCache>
                <c:formatCode>General</c:formatCode>
                <c:ptCount val="5"/>
                <c:pt idx="0">
                  <c:v>0</c:v>
                </c:pt>
                <c:pt idx="1">
                  <c:v>-59.408417576590253</c:v>
                </c:pt>
                <c:pt idx="2">
                  <c:v>-59.408417576590253</c:v>
                </c:pt>
                <c:pt idx="3">
                  <c:v>-1.7341017861914878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B2-4797-A40D-01B10B408E7D}"/>
            </c:ext>
          </c:extLst>
        </c:ser>
        <c:ser>
          <c:idx val="1"/>
          <c:order val="1"/>
          <c:tx>
            <c:v>tk = 0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'Ol-basalt-polyhedron'!$E$58:$E$59</c:f>
              <c:numCache>
                <c:formatCode>General</c:formatCode>
                <c:ptCount val="2"/>
                <c:pt idx="0">
                  <c:v>0</c:v>
                </c:pt>
                <c:pt idx="1">
                  <c:v>-17.285546856608459</c:v>
                </c:pt>
              </c:numCache>
            </c:numRef>
          </c:xVal>
          <c:yVal>
            <c:numRef>
              <c:f>'Ol-basalt-polyhedron'!$D$58:$D$59</c:f>
              <c:numCache>
                <c:formatCode>General</c:formatCode>
                <c:ptCount val="2"/>
                <c:pt idx="0">
                  <c:v>-41.485312455860267</c:v>
                </c:pt>
                <c:pt idx="1">
                  <c:v>-10.371328113965065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FB2-4797-A40D-01B10B408E7D}"/>
            </c:ext>
          </c:extLst>
        </c:ser>
        <c:ser>
          <c:idx val="2"/>
          <c:order val="2"/>
          <c:tx>
            <c:v>inaccessible</c:v>
          </c:tx>
          <c:spPr>
            <a:ln w="254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('Ol-basalt-polyhedron'!$E$44,'Ol-basalt-polyhedron'!$E$68,'Ol-basalt-polyhedron'!$E$67,'Ol-basalt-polyhedron'!$E$46)</c:f>
              <c:numCache>
                <c:formatCode>General</c:formatCode>
                <c:ptCount val="4"/>
                <c:pt idx="0">
                  <c:v>0</c:v>
                </c:pt>
                <c:pt idx="1">
                  <c:v>-17.285546856608445</c:v>
                </c:pt>
                <c:pt idx="2">
                  <c:v>-17.285546856608459</c:v>
                </c:pt>
                <c:pt idx="3">
                  <c:v>-2.8901696436524826</c:v>
                </c:pt>
              </c:numCache>
            </c:numRef>
          </c:xVal>
          <c:yVal>
            <c:numRef>
              <c:f>('Ol-basalt-polyhedron'!$D$44,'Ol-basalt-polyhedron'!$D$68,'Ol-basalt-polyhedron'!$D$67,'Ol-basalt-polyhedron'!$D$46)</c:f>
              <c:numCache>
                <c:formatCode>General</c:formatCode>
                <c:ptCount val="4"/>
                <c:pt idx="0">
                  <c:v>-59.408417576590253</c:v>
                </c:pt>
                <c:pt idx="1">
                  <c:v>-59.40841757659026</c:v>
                </c:pt>
                <c:pt idx="2">
                  <c:v>-10.371328113965065</c:v>
                </c:pt>
                <c:pt idx="3">
                  <c:v>-1.7341017861914878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FB2-4797-A40D-01B10B408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5235496"/>
        <c:axId val="-2136036648"/>
      </c:scatterChart>
      <c:valAx>
        <c:axId val="-2125235496"/>
        <c:scaling>
          <c:orientation val="minMax"/>
          <c:max val="0"/>
          <c:min val="-3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strRef>
              <c:f>'Ol-basalt-polyhedron'!$V$2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35603904775061002"/>
              <c:y val="0.92403905060793401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200" b="1" i="0" u="none" strike="noStrike" baseline="0">
                  <a:solidFill>
                    <a:srgbClr val="000000"/>
                  </a:solidFill>
                  <a:latin typeface="Geneva"/>
                  <a:ea typeface="Geneva"/>
                  <a:cs typeface="Geneva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36036648"/>
        <c:crossesAt val="0"/>
        <c:crossBetween val="midCat"/>
        <c:majorUnit val="10"/>
        <c:minorUnit val="10"/>
      </c:valAx>
      <c:valAx>
        <c:axId val="-2136036648"/>
        <c:scaling>
          <c:orientation val="minMax"/>
          <c:max val="0"/>
          <c:min val="-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strRef>
              <c:f>'Ol-basalt-polyhedron'!$V$3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6.7941244186581901E-2"/>
              <c:y val="0.474059346400316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200" b="1" i="0" u="none" strike="noStrike" baseline="0">
                  <a:solidFill>
                    <a:srgbClr val="000000"/>
                  </a:solidFill>
                  <a:latin typeface="Geneva"/>
                  <a:ea typeface="Geneva"/>
                  <a:cs typeface="Geneva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5235496"/>
        <c:crossesAt val="0"/>
        <c:crossBetween val="midCat"/>
        <c:majorUnit val="10"/>
        <c:minorUnit val="10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4233603386281901"/>
          <c:y val="0.29461845597912201"/>
          <c:w val="0.295754403531928"/>
          <c:h val="0.183675135508911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r>
              <a:rPr lang="en-US"/>
              <a:t>Basalt</a:t>
            </a:r>
          </a:p>
        </c:rich>
      </c:tx>
      <c:layout>
        <c:manualLayout>
          <c:xMode val="edge"/>
          <c:yMode val="edge"/>
          <c:x val="0.341513936524805"/>
          <c:y val="3.1161473087818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705404361768"/>
          <c:y val="0.10174034495688"/>
          <c:w val="0.60949297382603296"/>
          <c:h val="0.78753697218442598"/>
        </c:manualLayout>
      </c:layout>
      <c:scatterChart>
        <c:scatterStyle val="lineMarker"/>
        <c:varyColors val="0"/>
        <c:ser>
          <c:idx val="3"/>
          <c:order val="0"/>
          <c:tx>
            <c:v>basalt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'Ol-basalt-polyhedron'!$C$50:$C$54</c:f>
              <c:numCache>
                <c:formatCode>General</c:formatCode>
                <c:ptCount val="5"/>
                <c:pt idx="0">
                  <c:v>-27.656874970573512</c:v>
                </c:pt>
                <c:pt idx="1">
                  <c:v>-23.032603540729539</c:v>
                </c:pt>
                <c:pt idx="2">
                  <c:v>-23.032603540729539</c:v>
                </c:pt>
                <c:pt idx="3">
                  <c:v>-27.656874970573512</c:v>
                </c:pt>
                <c:pt idx="4">
                  <c:v>-27.656874970573512</c:v>
                </c:pt>
              </c:numCache>
            </c:numRef>
          </c:xVal>
          <c:yVal>
            <c:numRef>
              <c:f>'Ol-basalt-polyhedron'!$D$50:$D$54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-55.940214004207277</c:v>
                </c:pt>
                <c:pt idx="3">
                  <c:v>-59.408417576590253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8F-4F5C-9CF4-C8241EEF135B}"/>
            </c:ext>
          </c:extLst>
        </c:ser>
        <c:ser>
          <c:idx val="1"/>
          <c:order val="1"/>
          <c:tx>
            <c:v>tk = 0</c:v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'Ol-basalt-polyhedron'!$C$57:$C$58</c:f>
              <c:numCache>
                <c:formatCode>General</c:formatCode>
                <c:ptCount val="2"/>
                <c:pt idx="0">
                  <c:v>0</c:v>
                </c:pt>
                <c:pt idx="1">
                  <c:v>-27.656874970573512</c:v>
                </c:pt>
              </c:numCache>
            </c:numRef>
          </c:xVal>
          <c:yVal>
            <c:numRef>
              <c:f>'Ol-basalt-polyhedron'!$D$57:$D$58</c:f>
              <c:numCache>
                <c:formatCode>General</c:formatCode>
                <c:ptCount val="2"/>
                <c:pt idx="0">
                  <c:v>0</c:v>
                </c:pt>
                <c:pt idx="1">
                  <c:v>-41.485312455860267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68F-4F5C-9CF4-C8241EEF135B}"/>
            </c:ext>
          </c:extLst>
        </c:ser>
        <c:ser>
          <c:idx val="0"/>
          <c:order val="2"/>
          <c:tx>
            <c:v>inaccessible</c:v>
          </c:tx>
          <c:spPr>
            <a:ln w="25400">
              <a:solidFill>
                <a:srgbClr val="FF0000"/>
              </a:solidFill>
              <a:prstDash val="sysDot"/>
            </a:ln>
          </c:spPr>
          <c:marker>
            <c:symbol val="none"/>
          </c:marker>
          <c:xVal>
            <c:numRef>
              <c:f>('Ol-basalt-polyhedron'!$C$51,'Ol-basalt-polyhedron'!$C$63:$C$64,'Ol-basalt-polyhedron'!$C$52)</c:f>
              <c:numCache>
                <c:formatCode>General</c:formatCode>
                <c:ptCount val="4"/>
                <c:pt idx="0">
                  <c:v>-23.032603540729539</c:v>
                </c:pt>
                <c:pt idx="1">
                  <c:v>0</c:v>
                </c:pt>
                <c:pt idx="2">
                  <c:v>0</c:v>
                </c:pt>
                <c:pt idx="3">
                  <c:v>-23.032603540729539</c:v>
                </c:pt>
              </c:numCache>
            </c:numRef>
          </c:xVal>
          <c:yVal>
            <c:numRef>
              <c:f>('Ol-basalt-polyhedron'!$D$51,'Ol-basalt-polyhedron'!$D$63:$D$64,'Ol-basalt-polyhedron'!$D$52)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-38.665761348660119</c:v>
                </c:pt>
                <c:pt idx="3">
                  <c:v>-55.940214004207277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68F-4F5C-9CF4-C8241EEF1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1207320"/>
        <c:axId val="-2124570504"/>
      </c:scatterChart>
      <c:valAx>
        <c:axId val="-2121207320"/>
        <c:scaling>
          <c:orientation val="minMax"/>
          <c:max val="30"/>
          <c:min val="-3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strRef>
              <c:f>'Ol-basalt-polyhedron'!$V$1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37423377292562299"/>
              <c:y val="0.93201333898418504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200" b="1" i="0" u="none" strike="noStrike" baseline="0">
                  <a:solidFill>
                    <a:srgbClr val="000000"/>
                  </a:solidFill>
                  <a:latin typeface="Geneva"/>
                  <a:ea typeface="Geneva"/>
                  <a:cs typeface="Geneva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4570504"/>
        <c:crossesAt val="0"/>
        <c:crossBetween val="midCat"/>
        <c:majorUnit val="10"/>
        <c:minorUnit val="10"/>
      </c:valAx>
      <c:valAx>
        <c:axId val="-2124570504"/>
        <c:scaling>
          <c:orientation val="minMax"/>
          <c:max val="0"/>
          <c:min val="-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strRef>
              <c:f>'Ol-basalt-polyhedron'!$V$3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3.77690848345449E-2"/>
              <c:y val="0.440414323209599"/>
            </c:manualLayout>
          </c:layout>
          <c:overlay val="0"/>
          <c:spPr>
            <a:noFill/>
            <a:ln w="25400">
              <a:noFill/>
            </a:ln>
          </c:spPr>
          <c:txPr>
            <a:bodyPr/>
            <a:lstStyle/>
            <a:p>
              <a:pPr>
                <a:defRPr sz="1200" b="1" i="0" u="none" strike="noStrike" baseline="0">
                  <a:solidFill>
                    <a:srgbClr val="000000"/>
                  </a:solidFill>
                  <a:latin typeface="Geneva"/>
                  <a:ea typeface="Geneva"/>
                  <a:cs typeface="Geneva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Geneva"/>
                <a:ea typeface="Geneva"/>
                <a:cs typeface="Geneva"/>
              </a:defRPr>
            </a:pPr>
            <a:endParaRPr lang="en-US"/>
          </a:p>
        </c:txPr>
        <c:crossAx val="-2121207320"/>
        <c:crossesAt val="0"/>
        <c:crossBetween val="midCat"/>
        <c:majorUnit val="10"/>
        <c:minorUnit val="10"/>
      </c:valAx>
      <c:spPr>
        <a:solidFill>
          <a:schemeClr val="bg1">
            <a:lumMod val="85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188283979839896"/>
          <c:y val="0.328612790256742"/>
          <c:w val="0.238154855643045"/>
          <c:h val="0.189340857888515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Geneva"/>
              <a:ea typeface="Geneva"/>
              <a:cs typeface="Genev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Geneva"/>
          <a:ea typeface="Geneva"/>
          <a:cs typeface="Geneva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68</xdr:row>
      <xdr:rowOff>152400</xdr:rowOff>
    </xdr:from>
    <xdr:to>
      <xdr:col>5</xdr:col>
      <xdr:colOff>393700</xdr:colOff>
      <xdr:row>96</xdr:row>
      <xdr:rowOff>139700</xdr:rowOff>
    </xdr:to>
    <xdr:graphicFrame macro="">
      <xdr:nvGraphicFramePr>
        <xdr:cNvPr id="1063" name="Chart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469900</xdr:colOff>
      <xdr:row>68</xdr:row>
      <xdr:rowOff>152400</xdr:rowOff>
    </xdr:from>
    <xdr:to>
      <xdr:col>11</xdr:col>
      <xdr:colOff>838200</xdr:colOff>
      <xdr:row>96</xdr:row>
      <xdr:rowOff>152400</xdr:rowOff>
    </xdr:to>
    <xdr:graphicFrame macro="">
      <xdr:nvGraphicFramePr>
        <xdr:cNvPr id="1064" name="Chart 2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266700</xdr:colOff>
      <xdr:row>68</xdr:row>
      <xdr:rowOff>139700</xdr:rowOff>
    </xdr:from>
    <xdr:to>
      <xdr:col>22</xdr:col>
      <xdr:colOff>355600</xdr:colOff>
      <xdr:row>105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00" y="13093700"/>
          <a:ext cx="5791200" cy="708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68</xdr:row>
      <xdr:rowOff>127000</xdr:rowOff>
    </xdr:from>
    <xdr:to>
      <xdr:col>5</xdr:col>
      <xdr:colOff>393700</xdr:colOff>
      <xdr:row>96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036DCF-2CD7-4197-A3EC-5548431A2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457200</xdr:colOff>
      <xdr:row>68</xdr:row>
      <xdr:rowOff>127000</xdr:rowOff>
    </xdr:from>
    <xdr:to>
      <xdr:col>11</xdr:col>
      <xdr:colOff>698500</xdr:colOff>
      <xdr:row>96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AB14A2-AA5F-49ED-B72B-840563DD27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12</xdr:col>
      <xdr:colOff>139700</xdr:colOff>
      <xdr:row>68</xdr:row>
      <xdr:rowOff>114300</xdr:rowOff>
    </xdr:from>
    <xdr:ext cx="4689475" cy="7086600"/>
    <xdr:pic>
      <xdr:nvPicPr>
        <xdr:cNvPr id="4" name="Picture 3">
          <a:extLst>
            <a:ext uri="{FF2B5EF4-FFF2-40B4-BE49-F238E27FC236}">
              <a16:creationId xmlns:a16="http://schemas.microsoft.com/office/drawing/2014/main" id="{05B04E95-D45C-4223-9C43-94B97062D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40850" y="13068300"/>
          <a:ext cx="4689475" cy="7086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105"/>
  <sheetViews>
    <sheetView topLeftCell="A65" workbookViewId="0">
      <selection activeCell="Y81" sqref="Y81"/>
    </sheetView>
  </sheetViews>
  <sheetFormatPr defaultColWidth="10.73046875" defaultRowHeight="15" customHeight="1"/>
  <cols>
    <col min="1" max="1" width="5.73046875" style="5" customWidth="1"/>
    <col min="2" max="2" width="12.73046875" style="5" customWidth="1"/>
    <col min="3" max="15" width="10.73046875" style="5"/>
    <col min="16" max="24" width="4.59765625" style="5" customWidth="1"/>
    <col min="25" max="25" width="10.73046875" style="5"/>
    <col min="26" max="43" width="5.59765625" style="5" customWidth="1"/>
    <col min="44" max="16384" width="10.73046875" style="5"/>
  </cols>
  <sheetData>
    <row r="1" spans="2:14" ht="15" customHeight="1">
      <c r="B1" s="5" t="s">
        <v>33</v>
      </c>
      <c r="D1" s="6" t="s">
        <v>67</v>
      </c>
      <c r="E1" s="7"/>
      <c r="I1" s="8"/>
    </row>
    <row r="2" spans="2:14" ht="15" customHeight="1">
      <c r="D2" s="9"/>
      <c r="E2" s="7"/>
      <c r="I2" s="8"/>
    </row>
    <row r="4" spans="2:14" ht="15" customHeight="1">
      <c r="C4" s="10" t="s">
        <v>31</v>
      </c>
      <c r="G4" s="9" t="s">
        <v>64</v>
      </c>
    </row>
    <row r="5" spans="2:14" ht="15" customHeight="1">
      <c r="C5" s="10" t="s">
        <v>66</v>
      </c>
      <c r="I5" s="11" t="s">
        <v>49</v>
      </c>
    </row>
    <row r="6" spans="2:14" ht="15" customHeight="1">
      <c r="C6" s="10" t="s">
        <v>32</v>
      </c>
      <c r="E6" s="11" t="s">
        <v>55</v>
      </c>
      <c r="G6" s="1" t="s">
        <v>56</v>
      </c>
      <c r="H6" s="1" t="s">
        <v>57</v>
      </c>
      <c r="I6" s="1" t="s">
        <v>52</v>
      </c>
      <c r="J6" s="1" t="s">
        <v>53</v>
      </c>
      <c r="K6" s="1" t="s">
        <v>58</v>
      </c>
      <c r="M6" s="1" t="s">
        <v>59</v>
      </c>
    </row>
    <row r="7" spans="2:14" ht="15" customHeight="1">
      <c r="B7" s="11" t="s">
        <v>34</v>
      </c>
      <c r="C7" s="12" t="s">
        <v>30</v>
      </c>
      <c r="E7" s="13" t="s">
        <v>92</v>
      </c>
      <c r="G7" s="14">
        <v>0</v>
      </c>
      <c r="H7" s="14">
        <v>0</v>
      </c>
      <c r="I7" s="14">
        <v>0</v>
      </c>
      <c r="J7" s="14">
        <f>1/3</f>
        <v>0.33333333333333331</v>
      </c>
      <c r="K7" s="14">
        <f>2/3</f>
        <v>0.66666666666666663</v>
      </c>
      <c r="M7" s="2" t="s">
        <v>56</v>
      </c>
    </row>
    <row r="8" spans="2:14" ht="15" customHeight="1">
      <c r="B8" s="27" t="s">
        <v>1</v>
      </c>
      <c r="C8" s="15">
        <v>18.156674256909366</v>
      </c>
      <c r="E8" s="16" t="s">
        <v>60</v>
      </c>
      <c r="G8" s="14">
        <v>0</v>
      </c>
      <c r="H8" s="14">
        <v>1</v>
      </c>
      <c r="I8" s="14">
        <v>0</v>
      </c>
      <c r="J8" s="14">
        <v>0</v>
      </c>
      <c r="K8" s="14">
        <v>0</v>
      </c>
      <c r="M8" s="2" t="s">
        <v>65</v>
      </c>
    </row>
    <row r="9" spans="2:14" ht="15" customHeight="1">
      <c r="B9" s="27" t="s">
        <v>2</v>
      </c>
      <c r="C9" s="17">
        <v>16.153518666381022</v>
      </c>
      <c r="E9" s="16" t="s">
        <v>52</v>
      </c>
      <c r="F9" s="18" t="s">
        <v>63</v>
      </c>
      <c r="G9" s="14">
        <v>0</v>
      </c>
      <c r="H9" s="14">
        <v>0</v>
      </c>
      <c r="I9" s="14">
        <v>1</v>
      </c>
      <c r="J9" s="14">
        <v>0</v>
      </c>
      <c r="K9" s="14">
        <v>0</v>
      </c>
      <c r="L9" s="11" t="s">
        <v>59</v>
      </c>
      <c r="M9" s="2" t="s">
        <v>52</v>
      </c>
    </row>
    <row r="10" spans="2:14" ht="15" customHeight="1">
      <c r="B10" s="27" t="s">
        <v>24</v>
      </c>
      <c r="C10" s="17">
        <v>4.6934186601536956</v>
      </c>
      <c r="E10" s="16" t="s">
        <v>53</v>
      </c>
      <c r="F10" s="11"/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1"/>
      <c r="M10" s="2" t="s">
        <v>53</v>
      </c>
    </row>
    <row r="11" spans="2:14" ht="15" customHeight="1">
      <c r="B11" s="27" t="s">
        <v>25</v>
      </c>
      <c r="C11" s="15">
        <v>29.309906890673776</v>
      </c>
      <c r="E11" s="19" t="s">
        <v>5</v>
      </c>
      <c r="F11" s="11"/>
      <c r="G11" s="14">
        <v>6</v>
      </c>
      <c r="H11" s="14">
        <v>0</v>
      </c>
      <c r="I11" s="14">
        <v>0</v>
      </c>
      <c r="J11" s="14">
        <v>0</v>
      </c>
      <c r="K11" s="14">
        <v>0</v>
      </c>
      <c r="L11" s="11"/>
      <c r="M11" s="2" t="s">
        <v>58</v>
      </c>
    </row>
    <row r="12" spans="2:14" ht="15" customHeight="1">
      <c r="B12" s="27" t="s">
        <v>26</v>
      </c>
      <c r="C12" s="15">
        <v>25.899577191664815</v>
      </c>
      <c r="E12" s="20"/>
      <c r="F12" s="11"/>
      <c r="L12" s="11"/>
    </row>
    <row r="13" spans="2:14" ht="15" customHeight="1">
      <c r="B13" s="27" t="s">
        <v>27</v>
      </c>
      <c r="C13" s="15">
        <v>0.48729068206191822</v>
      </c>
      <c r="E13" s="21" t="s">
        <v>61</v>
      </c>
      <c r="F13" s="11"/>
      <c r="I13" s="11" t="s">
        <v>72</v>
      </c>
      <c r="L13" s="11"/>
      <c r="M13" s="11" t="s">
        <v>62</v>
      </c>
      <c r="N13" s="11" t="s">
        <v>59</v>
      </c>
    </row>
    <row r="14" spans="2:14" ht="15" customHeight="1">
      <c r="B14" s="27" t="s">
        <v>69</v>
      </c>
      <c r="C14" s="15">
        <v>1.9025624844497726</v>
      </c>
      <c r="E14" s="13" t="s">
        <v>90</v>
      </c>
      <c r="F14" s="11"/>
      <c r="G14" s="14">
        <f t="array" ref="G14:K18">TRANSPOSE(MINVERSE(G7:K11))</f>
        <v>0</v>
      </c>
      <c r="H14" s="14">
        <v>0</v>
      </c>
      <c r="I14" s="14">
        <v>0</v>
      </c>
      <c r="J14" s="14">
        <v>0</v>
      </c>
      <c r="K14" s="14">
        <v>1.5</v>
      </c>
      <c r="L14" s="11"/>
      <c r="M14" s="22">
        <f>C8</f>
        <v>18.156674256909366</v>
      </c>
      <c r="N14" s="3" t="s">
        <v>56</v>
      </c>
    </row>
    <row r="15" spans="2:14" ht="15" customHeight="1">
      <c r="B15" s="27" t="s">
        <v>70</v>
      </c>
      <c r="C15" s="15">
        <v>3.1639824784299142</v>
      </c>
      <c r="E15" s="16" t="s">
        <v>60</v>
      </c>
      <c r="F15" s="11"/>
      <c r="G15" s="14">
        <v>0</v>
      </c>
      <c r="H15" s="14">
        <v>1</v>
      </c>
      <c r="I15" s="14">
        <v>0</v>
      </c>
      <c r="J15" s="14">
        <v>0</v>
      </c>
      <c r="K15" s="14">
        <v>0</v>
      </c>
      <c r="L15" s="11"/>
      <c r="M15" s="22">
        <f>C8+C9</f>
        <v>34.310192923290387</v>
      </c>
      <c r="N15" s="3" t="s">
        <v>65</v>
      </c>
    </row>
    <row r="16" spans="2:14" ht="15" customHeight="1">
      <c r="B16" s="27" t="s">
        <v>28</v>
      </c>
      <c r="C16" s="15">
        <v>0.23306868927569457</v>
      </c>
      <c r="E16" s="16" t="s">
        <v>52</v>
      </c>
      <c r="F16" s="18" t="s">
        <v>63</v>
      </c>
      <c r="G16" s="14">
        <v>0</v>
      </c>
      <c r="H16" s="14">
        <v>0</v>
      </c>
      <c r="I16" s="14">
        <v>1</v>
      </c>
      <c r="J16" s="14">
        <v>0</v>
      </c>
      <c r="K16" s="14">
        <v>0</v>
      </c>
      <c r="L16" s="11" t="s">
        <v>59</v>
      </c>
      <c r="M16" s="22">
        <f>C10</f>
        <v>4.6934186601536956</v>
      </c>
      <c r="N16" s="3" t="s">
        <v>52</v>
      </c>
    </row>
    <row r="17" spans="2:15" ht="15" customHeight="1">
      <c r="B17" s="4" t="s">
        <v>68</v>
      </c>
      <c r="C17" s="23">
        <f>SUM(C8:C16)</f>
        <v>99.999999999999986</v>
      </c>
      <c r="E17" s="16" t="s">
        <v>53</v>
      </c>
      <c r="G17" s="14">
        <v>0</v>
      </c>
      <c r="H17" s="14">
        <v>0</v>
      </c>
      <c r="I17" s="14">
        <v>0</v>
      </c>
      <c r="J17" s="14">
        <v>1</v>
      </c>
      <c r="K17" s="14">
        <v>-0.5</v>
      </c>
      <c r="M17" s="22">
        <f>C11</f>
        <v>29.309906890673776</v>
      </c>
      <c r="N17" s="3" t="s">
        <v>53</v>
      </c>
    </row>
    <row r="18" spans="2:15" ht="15" customHeight="1">
      <c r="B18" s="50" t="s">
        <v>75</v>
      </c>
      <c r="C18" s="23">
        <f>SUM(C8:C13)</f>
        <v>94.700386347844599</v>
      </c>
      <c r="E18" s="19" t="s">
        <v>5</v>
      </c>
      <c r="G18" s="14">
        <v>0.16666666666666666</v>
      </c>
      <c r="H18" s="14">
        <v>0</v>
      </c>
      <c r="I18" s="14">
        <v>0</v>
      </c>
      <c r="J18" s="14">
        <v>0</v>
      </c>
      <c r="K18" s="14">
        <v>0</v>
      </c>
      <c r="M18" s="22">
        <f>C12+C13</f>
        <v>26.386867873726732</v>
      </c>
      <c r="N18" s="3" t="s">
        <v>58</v>
      </c>
      <c r="O18" s="25"/>
    </row>
    <row r="19" spans="2:15" ht="15" customHeight="1">
      <c r="B19" s="4"/>
      <c r="C19" s="23"/>
      <c r="E19" s="20"/>
      <c r="O19" s="25"/>
    </row>
    <row r="20" spans="2:15" ht="15" customHeight="1">
      <c r="C20" s="23"/>
      <c r="E20" s="24" t="s">
        <v>55</v>
      </c>
      <c r="F20" s="11" t="s">
        <v>61</v>
      </c>
      <c r="K20" s="4"/>
      <c r="L20" s="4" t="s">
        <v>71</v>
      </c>
      <c r="O20" s="25"/>
    </row>
    <row r="21" spans="2:15" ht="15" customHeight="1">
      <c r="C21" s="23"/>
      <c r="E21" s="13" t="s">
        <v>90</v>
      </c>
      <c r="F21" s="26">
        <f t="array" ref="F21:F25">MMULT(G14:K18,M14:M18)</f>
        <v>39.5803018105901</v>
      </c>
      <c r="K21" s="27" t="s">
        <v>90</v>
      </c>
      <c r="L21" s="26">
        <f>F21</f>
        <v>39.5803018105901</v>
      </c>
      <c r="O21" s="25"/>
    </row>
    <row r="22" spans="2:15" ht="15" customHeight="1">
      <c r="C22" s="23"/>
      <c r="E22" s="16" t="s">
        <v>60</v>
      </c>
      <c r="F22" s="28">
        <v>34.310192923290387</v>
      </c>
      <c r="K22" s="27" t="s">
        <v>54</v>
      </c>
      <c r="L22" s="28">
        <f>F22</f>
        <v>34.310192923290387</v>
      </c>
      <c r="M22" s="5" t="s">
        <v>3</v>
      </c>
      <c r="O22" s="25"/>
    </row>
    <row r="23" spans="2:15" ht="15" customHeight="1">
      <c r="C23" s="23"/>
      <c r="E23" s="16" t="s">
        <v>52</v>
      </c>
      <c r="F23" s="28">
        <v>4.6934186601536956</v>
      </c>
      <c r="K23" s="29" t="s">
        <v>50</v>
      </c>
      <c r="L23" s="30">
        <v>0</v>
      </c>
      <c r="O23" s="25"/>
    </row>
    <row r="24" spans="2:15" ht="15" customHeight="1">
      <c r="C24" s="23"/>
      <c r="E24" s="16" t="s">
        <v>53</v>
      </c>
      <c r="F24" s="28">
        <v>16.116472953810408</v>
      </c>
      <c r="K24" s="29" t="s">
        <v>51</v>
      </c>
      <c r="L24" s="30">
        <v>0</v>
      </c>
      <c r="O24" s="25"/>
    </row>
    <row r="25" spans="2:15" ht="15" customHeight="1">
      <c r="C25" s="23"/>
      <c r="E25" s="19" t="s">
        <v>5</v>
      </c>
      <c r="F25" s="31">
        <v>3.0261123761515609</v>
      </c>
      <c r="K25" s="27" t="s">
        <v>52</v>
      </c>
      <c r="L25" s="28">
        <f>F23</f>
        <v>4.6934186601536956</v>
      </c>
      <c r="O25" s="25"/>
    </row>
    <row r="26" spans="2:15" ht="15" customHeight="1">
      <c r="K26" s="32" t="s">
        <v>53</v>
      </c>
      <c r="L26" s="28">
        <f>C11-(1/2)*(C12+C13)</f>
        <v>16.116472953810408</v>
      </c>
    </row>
    <row r="27" spans="2:15" ht="15" customHeight="1">
      <c r="B27" s="12" t="s">
        <v>8</v>
      </c>
      <c r="C27" s="33" t="s">
        <v>60</v>
      </c>
      <c r="D27" s="33" t="s">
        <v>50</v>
      </c>
      <c r="E27" s="33" t="s">
        <v>53</v>
      </c>
      <c r="F27" s="33" t="s">
        <v>51</v>
      </c>
      <c r="G27" s="33" t="s">
        <v>52</v>
      </c>
      <c r="H27" s="34" t="s">
        <v>6</v>
      </c>
      <c r="I27" s="34" t="s">
        <v>5</v>
      </c>
      <c r="K27" s="35" t="s">
        <v>6</v>
      </c>
      <c r="L27" s="36">
        <v>0</v>
      </c>
    </row>
    <row r="28" spans="2:15" ht="15" customHeight="1">
      <c r="B28" s="5" t="s">
        <v>9</v>
      </c>
      <c r="C28" s="5">
        <v>-0.75</v>
      </c>
      <c r="D28" s="5">
        <v>0</v>
      </c>
      <c r="E28" s="5">
        <v>1</v>
      </c>
      <c r="F28" s="5">
        <v>0</v>
      </c>
      <c r="G28" s="5">
        <v>-0.25</v>
      </c>
      <c r="H28" s="5">
        <v>-0.125</v>
      </c>
      <c r="I28" s="5">
        <v>-0.125</v>
      </c>
      <c r="K28" s="27" t="s">
        <v>74</v>
      </c>
      <c r="L28" s="37">
        <f>F25</f>
        <v>3.0261123761515609</v>
      </c>
      <c r="M28" s="5" t="s">
        <v>4</v>
      </c>
    </row>
    <row r="29" spans="2:15" ht="15" customHeight="1">
      <c r="B29" s="5" t="s">
        <v>10</v>
      </c>
      <c r="C29" s="5">
        <v>0</v>
      </c>
      <c r="D29" s="5">
        <v>0.6</v>
      </c>
      <c r="E29" s="5">
        <v>0</v>
      </c>
      <c r="F29" s="5">
        <v>-1</v>
      </c>
      <c r="G29" s="5">
        <v>0.4</v>
      </c>
      <c r="H29" s="5">
        <v>0.15</v>
      </c>
      <c r="I29" s="5">
        <v>0</v>
      </c>
      <c r="K29" s="4" t="s">
        <v>7</v>
      </c>
      <c r="L29" s="26">
        <f>SUM(L21:L26)</f>
        <v>94.700386347844585</v>
      </c>
    </row>
    <row r="30" spans="2:15" ht="15" customHeight="1">
      <c r="B30" s="5" t="s">
        <v>36</v>
      </c>
      <c r="C30" s="5">
        <v>1</v>
      </c>
      <c r="D30" s="5">
        <v>-1</v>
      </c>
      <c r="E30" s="5">
        <v>0</v>
      </c>
      <c r="F30" s="5">
        <v>0</v>
      </c>
      <c r="G30" s="5">
        <v>0</v>
      </c>
      <c r="H30" s="38">
        <f>1/12</f>
        <v>8.3333333333333329E-2</v>
      </c>
      <c r="I30" s="5">
        <v>0</v>
      </c>
      <c r="K30" s="4" t="s">
        <v>91</v>
      </c>
      <c r="L30" s="39">
        <f>L29-L21</f>
        <v>55.120084537254485</v>
      </c>
    </row>
    <row r="32" spans="2:15" ht="15" customHeight="1">
      <c r="B32" s="4"/>
      <c r="C32" s="4" t="s">
        <v>97</v>
      </c>
      <c r="D32" s="55">
        <f>L21</f>
        <v>39.5803018105901</v>
      </c>
      <c r="E32" s="5" t="s">
        <v>11</v>
      </c>
    </row>
    <row r="33" spans="2:41" ht="15" customHeight="1">
      <c r="B33" s="4"/>
      <c r="C33" s="40"/>
    </row>
    <row r="34" spans="2:41" ht="15" customHeight="1">
      <c r="B34" s="51" t="s">
        <v>76</v>
      </c>
      <c r="C34" s="52" t="str">
        <f>IF(J43&lt;0,"NO volume for Qz", " ")</f>
        <v xml:space="preserve"> </v>
      </c>
      <c r="D34" s="53"/>
      <c r="E34" s="53"/>
      <c r="F34" s="5" t="s">
        <v>77</v>
      </c>
    </row>
    <row r="35" spans="2:41" ht="15" customHeight="1">
      <c r="C35" s="54" t="str">
        <f>IF(I45&lt;0,"NO volume for Ky"," ")</f>
        <v xml:space="preserve"> </v>
      </c>
      <c r="D35" s="53"/>
      <c r="E35" s="53"/>
      <c r="F35" s="5" t="s">
        <v>94</v>
      </c>
    </row>
    <row r="36" spans="2:41" ht="15" customHeight="1">
      <c r="C36" s="54" t="str">
        <f>IF(H51&lt;0,"NO volume for An"," ")</f>
        <v xml:space="preserve"> </v>
      </c>
      <c r="D36" s="53"/>
      <c r="E36" s="53"/>
      <c r="F36" s="5" t="s">
        <v>95</v>
      </c>
    </row>
    <row r="37" spans="2:41" ht="15" customHeight="1">
      <c r="B37" s="4"/>
      <c r="C37" s="54" t="str">
        <f>IF(H42&lt;0,"an&lt;0 (Pl has ab&gt;67, this won't work)"," ")</f>
        <v xml:space="preserve"> </v>
      </c>
      <c r="D37" s="53"/>
      <c r="E37" s="53"/>
      <c r="F37" s="5" t="s">
        <v>78</v>
      </c>
    </row>
    <row r="38" spans="2:41" ht="15" customHeight="1">
      <c r="Y38" s="27" t="s">
        <v>98</v>
      </c>
      <c r="Z38" s="41">
        <f>L21</f>
        <v>39.5803018105901</v>
      </c>
    </row>
    <row r="39" spans="2:41" ht="15" customHeight="1">
      <c r="B39" s="5" t="s">
        <v>29</v>
      </c>
      <c r="C39" s="40"/>
    </row>
    <row r="40" spans="2:41" ht="15" customHeight="1">
      <c r="B40" s="5" t="s">
        <v>96</v>
      </c>
      <c r="G40" s="5" t="s">
        <v>12</v>
      </c>
      <c r="P40" s="5" t="s">
        <v>87</v>
      </c>
      <c r="U40" s="5" t="s">
        <v>88</v>
      </c>
      <c r="Z40" s="5" t="s">
        <v>84</v>
      </c>
      <c r="AG40" s="5" t="s">
        <v>85</v>
      </c>
      <c r="AL40" s="5" t="s">
        <v>86</v>
      </c>
    </row>
    <row r="41" spans="2:41" ht="15" customHeight="1">
      <c r="B41" s="5" t="s">
        <v>13</v>
      </c>
      <c r="C41" s="5" t="s">
        <v>9</v>
      </c>
      <c r="D41" s="5" t="s">
        <v>36</v>
      </c>
      <c r="E41" s="5" t="s">
        <v>10</v>
      </c>
      <c r="F41" s="42" t="s">
        <v>60</v>
      </c>
      <c r="G41" s="42" t="s">
        <v>50</v>
      </c>
      <c r="H41" s="42" t="s">
        <v>53</v>
      </c>
      <c r="I41" s="42" t="s">
        <v>51</v>
      </c>
      <c r="J41" s="42" t="s">
        <v>52</v>
      </c>
      <c r="K41" s="5" t="s">
        <v>6</v>
      </c>
      <c r="L41" s="5" t="s">
        <v>5</v>
      </c>
      <c r="O41" s="4"/>
      <c r="P41" s="11" t="s">
        <v>43</v>
      </c>
      <c r="Q41" s="11" t="s">
        <v>44</v>
      </c>
      <c r="R41" s="11" t="s">
        <v>45</v>
      </c>
      <c r="S41" s="11" t="s">
        <v>46</v>
      </c>
      <c r="T41" s="11"/>
      <c r="U41" s="11" t="s">
        <v>43</v>
      </c>
      <c r="V41" s="11" t="s">
        <v>44</v>
      </c>
      <c r="W41" s="11" t="s">
        <v>45</v>
      </c>
      <c r="X41" s="11" t="s">
        <v>46</v>
      </c>
      <c r="Z41" s="11" t="s">
        <v>47</v>
      </c>
      <c r="AA41" s="11" t="s">
        <v>48</v>
      </c>
      <c r="AB41" s="11" t="s">
        <v>43</v>
      </c>
      <c r="AC41" s="11" t="s">
        <v>44</v>
      </c>
      <c r="AD41" s="11" t="s">
        <v>45</v>
      </c>
      <c r="AE41" s="11" t="s">
        <v>46</v>
      </c>
      <c r="AF41" s="43"/>
      <c r="AG41" s="11" t="s">
        <v>43</v>
      </c>
      <c r="AH41" s="11" t="s">
        <v>44</v>
      </c>
      <c r="AI41" s="11" t="s">
        <v>49</v>
      </c>
      <c r="AJ41" s="11" t="s">
        <v>46</v>
      </c>
      <c r="AL41" s="11" t="s">
        <v>48</v>
      </c>
      <c r="AM41" s="11" t="s">
        <v>43</v>
      </c>
      <c r="AN41" s="11" t="s">
        <v>45</v>
      </c>
      <c r="AO41" s="11" t="s">
        <v>46</v>
      </c>
    </row>
    <row r="42" spans="2:41" ht="15" customHeight="1">
      <c r="B42" s="5" t="s">
        <v>14</v>
      </c>
      <c r="C42" s="5">
        <v>0</v>
      </c>
      <c r="D42" s="5">
        <v>0</v>
      </c>
      <c r="E42" s="5">
        <v>0</v>
      </c>
      <c r="F42" s="5">
        <f>L22</f>
        <v>34.310192923290387</v>
      </c>
      <c r="G42" s="5">
        <f>L23</f>
        <v>0</v>
      </c>
      <c r="H42" s="5">
        <f>L26</f>
        <v>16.116472953810408</v>
      </c>
      <c r="I42" s="5">
        <f>L24</f>
        <v>0</v>
      </c>
      <c r="J42" s="5">
        <f>L25</f>
        <v>4.6934186601536956</v>
      </c>
      <c r="K42" s="5">
        <f>L27</f>
        <v>0</v>
      </c>
      <c r="L42" s="5">
        <f>L28</f>
        <v>3.0261123761515609</v>
      </c>
      <c r="O42" s="4" t="s">
        <v>23</v>
      </c>
      <c r="P42" s="44">
        <f>L42*6/F42</f>
        <v>0.52919184387868257</v>
      </c>
      <c r="Q42" s="44">
        <f>2-P42-R42/2</f>
        <v>1.4708081561213175</v>
      </c>
      <c r="R42" s="44">
        <f>2*K42*6/F42</f>
        <v>0</v>
      </c>
      <c r="S42" s="44">
        <f>2-R42/2</f>
        <v>2</v>
      </c>
      <c r="T42" s="44"/>
      <c r="U42" s="44"/>
      <c r="V42" s="44"/>
      <c r="W42" s="44"/>
      <c r="X42" s="44"/>
      <c r="Y42" s="4" t="s">
        <v>23</v>
      </c>
      <c r="Z42" s="45">
        <v>0</v>
      </c>
      <c r="AA42" s="45">
        <v>0</v>
      </c>
      <c r="AB42" s="46">
        <f>P42</f>
        <v>0.52919184387868257</v>
      </c>
      <c r="AC42" s="46">
        <f t="shared" ref="AC42:AE42" si="0">Q42</f>
        <v>1.4708081561213175</v>
      </c>
      <c r="AD42" s="46">
        <f t="shared" si="0"/>
        <v>0</v>
      </c>
      <c r="AE42" s="46">
        <f t="shared" si="0"/>
        <v>2</v>
      </c>
      <c r="AF42" s="43"/>
      <c r="AG42" s="43"/>
      <c r="AH42" s="43"/>
      <c r="AI42" s="43"/>
      <c r="AJ42" s="43"/>
      <c r="AK42" s="43"/>
      <c r="AL42" s="45">
        <f>(2*Z38/3)/(Z38+H42)</f>
        <v>0.47375935115353079</v>
      </c>
      <c r="AM42" s="45">
        <f>(Z38/3+H42)/(Z38+H42)</f>
        <v>0.52624064884646915</v>
      </c>
      <c r="AN42" s="45">
        <f>(4*Z38/3+2*H42)/(Z38+H42)</f>
        <v>1.5262406488464693</v>
      </c>
      <c r="AO42" s="45">
        <f>(8*Z38/3+2*H42)/(Z38+H42)</f>
        <v>2.4737593511535305</v>
      </c>
    </row>
    <row r="43" spans="2:41" ht="15" customHeight="1">
      <c r="B43" s="5" t="s">
        <v>15</v>
      </c>
      <c r="C43" s="5">
        <f>-H42</f>
        <v>-16.116472953810408</v>
      </c>
      <c r="D43" s="47">
        <v>0</v>
      </c>
      <c r="E43" s="48">
        <v>0</v>
      </c>
      <c r="F43" s="5">
        <f>F42+0.75*H42</f>
        <v>46.397547638648192</v>
      </c>
      <c r="G43" s="5">
        <f>G42</f>
        <v>0</v>
      </c>
      <c r="H43" s="5">
        <f>0</f>
        <v>0</v>
      </c>
      <c r="I43" s="5">
        <f>I42</f>
        <v>0</v>
      </c>
      <c r="J43" s="5">
        <f>J42+0.25*H42</f>
        <v>8.7225368986062968</v>
      </c>
      <c r="K43" s="5">
        <f>K42+0.125*H42</f>
        <v>2.014559119226301</v>
      </c>
      <c r="L43" s="5">
        <f>L42+0.125*H42</f>
        <v>5.040671495377862</v>
      </c>
      <c r="O43" s="4" t="s">
        <v>15</v>
      </c>
      <c r="P43" s="44">
        <f>L43*6/F43</f>
        <v>0.65184542096519182</v>
      </c>
      <c r="Q43" s="44">
        <f>2-P43-R43/2</f>
        <v>1.0876374756418414</v>
      </c>
      <c r="R43" s="44">
        <f>2*K43*6/F43</f>
        <v>0.52103420678593326</v>
      </c>
      <c r="S43" s="44">
        <f>2-R43/2</f>
        <v>1.7394828966070333</v>
      </c>
      <c r="T43" s="44"/>
      <c r="U43" s="44"/>
      <c r="V43" s="44"/>
      <c r="W43" s="44"/>
      <c r="X43" s="44"/>
      <c r="Y43" s="4" t="s">
        <v>15</v>
      </c>
      <c r="Z43" s="45">
        <f>Z38/4/(F43+Z38)</f>
        <v>0.11508865964936262</v>
      </c>
      <c r="AA43" s="45">
        <f>Z38/2/(Z38+F43)</f>
        <v>0.23017731929872523</v>
      </c>
      <c r="AB43" s="45">
        <f>(Z38/4+P43*F43)/(Z38+F43)</f>
        <v>0.4668540174247206</v>
      </c>
      <c r="AC43" s="45">
        <f>Q43*F43/(Z38+F43)</f>
        <v>0.58693851861769819</v>
      </c>
      <c r="AD43" s="45">
        <f>(Z38+R43*F43)/(Z38+F43)</f>
        <v>0.74152833142153618</v>
      </c>
      <c r="AE43" s="45">
        <f>(2*Z38+S43*F43)/(Z38+F43)</f>
        <v>1.8594131535879572</v>
      </c>
      <c r="AF43" s="43"/>
      <c r="AG43" s="43"/>
      <c r="AH43" s="43"/>
      <c r="AI43" s="43"/>
      <c r="AJ43" s="43"/>
      <c r="AK43" s="43"/>
      <c r="AL43" s="43"/>
      <c r="AM43" s="43"/>
      <c r="AN43" s="43"/>
      <c r="AO43" s="43"/>
    </row>
    <row r="44" spans="2:41" ht="15" customHeight="1">
      <c r="B44" s="5" t="s">
        <v>16</v>
      </c>
      <c r="C44" s="5">
        <f>C43</f>
        <v>-16.116472953810408</v>
      </c>
      <c r="D44" s="47">
        <f>D43-F43</f>
        <v>-46.397547638648192</v>
      </c>
      <c r="E44" s="47">
        <f>E43</f>
        <v>0</v>
      </c>
      <c r="F44" s="5">
        <f>0</f>
        <v>0</v>
      </c>
      <c r="G44" s="5">
        <f>F43</f>
        <v>46.397547638648192</v>
      </c>
      <c r="H44" s="5">
        <f>H43</f>
        <v>0</v>
      </c>
      <c r="I44" s="5">
        <f>I43</f>
        <v>0</v>
      </c>
      <c r="J44" s="5">
        <f>J43</f>
        <v>8.7225368986062968</v>
      </c>
      <c r="K44" s="5">
        <f>K43-(1/12)*F43</f>
        <v>-1.8519031839943816</v>
      </c>
      <c r="L44" s="5">
        <f>L43</f>
        <v>5.040671495377862</v>
      </c>
      <c r="O44" s="4" t="s">
        <v>16</v>
      </c>
      <c r="P44" s="44"/>
      <c r="Q44" s="44"/>
      <c r="R44" s="44"/>
      <c r="S44" s="44"/>
      <c r="T44" s="44"/>
      <c r="U44" s="44">
        <f>L44*12/G44</f>
        <v>1.3036908419303836</v>
      </c>
      <c r="V44" s="44">
        <f>X44-U44</f>
        <v>2.1752749512836829</v>
      </c>
      <c r="W44" s="44">
        <f>2+2*K44*12/G44</f>
        <v>1.0420684135718665</v>
      </c>
      <c r="X44" s="44">
        <f>3-K44*12/G44</f>
        <v>3.4789657932140665</v>
      </c>
      <c r="Y44" s="4" t="s">
        <v>16</v>
      </c>
      <c r="Z44" s="43"/>
      <c r="AA44" s="43"/>
      <c r="AB44" s="43"/>
      <c r="AC44" s="43"/>
      <c r="AD44" s="43"/>
      <c r="AE44" s="43"/>
      <c r="AF44" s="43"/>
      <c r="AG44" s="46">
        <f>U44</f>
        <v>1.3036908419303836</v>
      </c>
      <c r="AH44" s="46">
        <f t="shared" ref="AH44:AJ44" si="1">V44</f>
        <v>2.1752749512836829</v>
      </c>
      <c r="AI44" s="46">
        <f t="shared" si="1"/>
        <v>1.0420684135718665</v>
      </c>
      <c r="AJ44" s="46">
        <f t="shared" si="1"/>
        <v>3.4789657932140665</v>
      </c>
      <c r="AK44" s="43"/>
      <c r="AL44" s="43"/>
      <c r="AM44" s="43"/>
      <c r="AN44" s="43"/>
      <c r="AO44" s="43"/>
    </row>
    <row r="45" spans="2:41" ht="15" customHeight="1">
      <c r="B45" s="5" t="s">
        <v>17</v>
      </c>
      <c r="C45" s="5">
        <f>C44</f>
        <v>-16.116472953810408</v>
      </c>
      <c r="D45" s="47">
        <f>D44</f>
        <v>-46.397547638648192</v>
      </c>
      <c r="E45" s="47">
        <f>-2.5*J44</f>
        <v>-21.80634224651574</v>
      </c>
      <c r="F45" s="5">
        <f>F44</f>
        <v>0</v>
      </c>
      <c r="G45" s="5">
        <f>G44-1.5*J44</f>
        <v>33.313742290738745</v>
      </c>
      <c r="H45" s="5">
        <f>H44</f>
        <v>0</v>
      </c>
      <c r="I45" s="5">
        <f>I44+2.5*J44</f>
        <v>21.80634224651574</v>
      </c>
      <c r="J45" s="5">
        <f>0</f>
        <v>0</v>
      </c>
      <c r="K45" s="5">
        <f>K44-(3/20)*I45</f>
        <v>-5.1228545209717424</v>
      </c>
      <c r="L45" s="5">
        <f>L44</f>
        <v>5.040671495377862</v>
      </c>
      <c r="O45" s="4"/>
      <c r="Y45" s="4"/>
    </row>
    <row r="46" spans="2:41" ht="15" customHeight="1">
      <c r="B46" s="5" t="s">
        <v>18</v>
      </c>
      <c r="C46" s="5">
        <f>C45</f>
        <v>-16.116472953810408</v>
      </c>
      <c r="D46" s="47">
        <f>G45+D45</f>
        <v>-13.083805347909447</v>
      </c>
      <c r="E46" s="47">
        <f>E45</f>
        <v>-21.80634224651574</v>
      </c>
      <c r="F46" s="5">
        <f>G45</f>
        <v>33.313742290738745</v>
      </c>
      <c r="G46" s="5">
        <f>F45</f>
        <v>0</v>
      </c>
      <c r="H46" s="5">
        <f>H45</f>
        <v>0</v>
      </c>
      <c r="I46" s="5">
        <f>I45</f>
        <v>21.80634224651574</v>
      </c>
      <c r="J46" s="5">
        <f>J45</f>
        <v>0</v>
      </c>
      <c r="K46" s="5">
        <f>K45+(1/12)*F46</f>
        <v>-2.3467093300768473</v>
      </c>
      <c r="L46" s="5">
        <f>L45</f>
        <v>5.040671495377862</v>
      </c>
      <c r="O46" s="4"/>
      <c r="Y46" s="4"/>
    </row>
    <row r="47" spans="2:41" ht="15" customHeight="1">
      <c r="B47" s="5" t="s">
        <v>19</v>
      </c>
      <c r="C47" s="5">
        <f t="shared" ref="C47:L47" si="2">C43</f>
        <v>-16.116472953810408</v>
      </c>
      <c r="D47" s="47">
        <f t="shared" si="2"/>
        <v>0</v>
      </c>
      <c r="E47" s="47">
        <f t="shared" si="2"/>
        <v>0</v>
      </c>
      <c r="F47" s="5">
        <f t="shared" si="2"/>
        <v>46.397547638648192</v>
      </c>
      <c r="G47" s="5">
        <f t="shared" si="2"/>
        <v>0</v>
      </c>
      <c r="H47" s="5">
        <f t="shared" si="2"/>
        <v>0</v>
      </c>
      <c r="I47" s="5">
        <f t="shared" si="2"/>
        <v>0</v>
      </c>
      <c r="J47" s="5">
        <f t="shared" si="2"/>
        <v>8.7225368986062968</v>
      </c>
      <c r="K47" s="5">
        <f t="shared" si="2"/>
        <v>2.014559119226301</v>
      </c>
      <c r="L47" s="5">
        <f t="shared" si="2"/>
        <v>5.040671495377862</v>
      </c>
      <c r="O47" s="4"/>
      <c r="Y47" s="4"/>
    </row>
    <row r="48" spans="2:41" ht="15" customHeight="1">
      <c r="O48" s="4"/>
      <c r="Y48" s="4"/>
    </row>
    <row r="49" spans="2:41" ht="15" customHeight="1">
      <c r="B49" s="5" t="s">
        <v>37</v>
      </c>
      <c r="O49" s="4"/>
      <c r="Y49" s="4"/>
    </row>
    <row r="50" spans="2:41" ht="15" customHeight="1">
      <c r="B50" s="5" t="s">
        <v>15</v>
      </c>
      <c r="C50" s="47">
        <f t="shared" ref="C50:L50" si="3">C43</f>
        <v>-16.116472953810408</v>
      </c>
      <c r="D50" s="47">
        <f t="shared" si="3"/>
        <v>0</v>
      </c>
      <c r="E50" s="5">
        <f t="shared" si="3"/>
        <v>0</v>
      </c>
      <c r="F50" s="5">
        <f t="shared" si="3"/>
        <v>46.397547638648192</v>
      </c>
      <c r="G50" s="5">
        <f t="shared" si="3"/>
        <v>0</v>
      </c>
      <c r="H50" s="5">
        <f t="shared" si="3"/>
        <v>0</v>
      </c>
      <c r="I50" s="5">
        <f t="shared" si="3"/>
        <v>0</v>
      </c>
      <c r="J50" s="5">
        <f t="shared" si="3"/>
        <v>8.7225368986062968</v>
      </c>
      <c r="K50" s="5">
        <f t="shared" si="3"/>
        <v>2.014559119226301</v>
      </c>
      <c r="L50" s="5">
        <f t="shared" si="3"/>
        <v>5.040671495377862</v>
      </c>
      <c r="O50" s="4"/>
      <c r="Y50" s="4"/>
    </row>
    <row r="51" spans="2:41" ht="15" customHeight="1">
      <c r="B51" s="5" t="s">
        <v>20</v>
      </c>
      <c r="C51" s="47">
        <f>4*J42</f>
        <v>18.773674640614782</v>
      </c>
      <c r="D51" s="47">
        <f>D43</f>
        <v>0</v>
      </c>
      <c r="E51" s="5">
        <f>E43</f>
        <v>0</v>
      </c>
      <c r="F51" s="5">
        <f>F42-3*J42</f>
        <v>20.229936942829301</v>
      </c>
      <c r="G51" s="5">
        <f>G42</f>
        <v>0</v>
      </c>
      <c r="H51" s="5">
        <f>H42+4*J42</f>
        <v>34.890147594425187</v>
      </c>
      <c r="I51" s="5">
        <f>I42</f>
        <v>0</v>
      </c>
      <c r="J51" s="5">
        <f>0</f>
        <v>0</v>
      </c>
      <c r="K51" s="5">
        <f>K42-0.125*(4*J42)</f>
        <v>-2.3467093300768478</v>
      </c>
      <c r="L51" s="5">
        <f>L42-0.125*4*J42</f>
        <v>0.67940304607471314</v>
      </c>
      <c r="O51" s="4"/>
      <c r="Y51" s="4"/>
    </row>
    <row r="52" spans="2:41" ht="15" customHeight="1">
      <c r="B52" s="5" t="s">
        <v>21</v>
      </c>
      <c r="C52" s="47">
        <f>C51</f>
        <v>18.773674640614782</v>
      </c>
      <c r="D52" s="47">
        <f>G51-F51</f>
        <v>-20.229936942829301</v>
      </c>
      <c r="E52" s="5">
        <f>E51</f>
        <v>0</v>
      </c>
      <c r="F52" s="5">
        <f>G51</f>
        <v>0</v>
      </c>
      <c r="G52" s="5">
        <f>F51</f>
        <v>20.229936942829301</v>
      </c>
      <c r="H52" s="5">
        <f>H51</f>
        <v>34.890147594425187</v>
      </c>
      <c r="I52" s="5">
        <f>I51</f>
        <v>0</v>
      </c>
      <c r="J52" s="5">
        <f>J51</f>
        <v>0</v>
      </c>
      <c r="K52" s="5">
        <f>K51-(1/12)*F51</f>
        <v>-4.0325374086459558</v>
      </c>
      <c r="L52" s="5">
        <f>L51</f>
        <v>0.67940304607471314</v>
      </c>
      <c r="O52" s="4"/>
      <c r="Y52" s="4"/>
    </row>
    <row r="53" spans="2:41" ht="15" customHeight="1">
      <c r="B53" s="5" t="s">
        <v>16</v>
      </c>
      <c r="C53" s="47">
        <f t="shared" ref="C53:L53" si="4">C44</f>
        <v>-16.116472953810408</v>
      </c>
      <c r="D53" s="47">
        <f t="shared" si="4"/>
        <v>-46.397547638648192</v>
      </c>
      <c r="E53" s="5">
        <f t="shared" si="4"/>
        <v>0</v>
      </c>
      <c r="F53" s="5">
        <f t="shared" si="4"/>
        <v>0</v>
      </c>
      <c r="G53" s="5">
        <f t="shared" si="4"/>
        <v>46.397547638648192</v>
      </c>
      <c r="H53" s="5">
        <f t="shared" si="4"/>
        <v>0</v>
      </c>
      <c r="I53" s="5">
        <f t="shared" si="4"/>
        <v>0</v>
      </c>
      <c r="J53" s="5">
        <f t="shared" si="4"/>
        <v>8.7225368986062968</v>
      </c>
      <c r="K53" s="5">
        <f t="shared" si="4"/>
        <v>-1.8519031839943816</v>
      </c>
      <c r="L53" s="5">
        <f t="shared" si="4"/>
        <v>5.040671495377862</v>
      </c>
      <c r="O53" s="4"/>
      <c r="Y53" s="4"/>
    </row>
    <row r="54" spans="2:41" ht="15" customHeight="1">
      <c r="B54" s="5" t="s">
        <v>19</v>
      </c>
      <c r="C54" s="47">
        <f t="shared" ref="C54:L54" si="5">C50</f>
        <v>-16.116472953810408</v>
      </c>
      <c r="D54" s="47">
        <f t="shared" si="5"/>
        <v>0</v>
      </c>
      <c r="E54" s="5">
        <f t="shared" si="5"/>
        <v>0</v>
      </c>
      <c r="F54" s="5">
        <f t="shared" si="5"/>
        <v>46.397547638648192</v>
      </c>
      <c r="G54" s="5">
        <f t="shared" si="5"/>
        <v>0</v>
      </c>
      <c r="H54" s="5">
        <f t="shared" si="5"/>
        <v>0</v>
      </c>
      <c r="I54" s="5">
        <f t="shared" si="5"/>
        <v>0</v>
      </c>
      <c r="J54" s="5">
        <f t="shared" si="5"/>
        <v>8.7225368986062968</v>
      </c>
      <c r="K54" s="5">
        <f t="shared" si="5"/>
        <v>2.014559119226301</v>
      </c>
      <c r="L54" s="5">
        <f t="shared" si="5"/>
        <v>5.040671495377862</v>
      </c>
      <c r="O54" s="4"/>
      <c r="Y54" s="4"/>
    </row>
    <row r="55" spans="2:41" ht="15" customHeight="1">
      <c r="O55" s="4"/>
      <c r="Y55" s="4"/>
    </row>
    <row r="56" spans="2:41" ht="15" customHeight="1">
      <c r="B56" s="5" t="s">
        <v>22</v>
      </c>
      <c r="O56" s="4"/>
      <c r="Y56" s="4"/>
    </row>
    <row r="57" spans="2:41" ht="15" customHeight="1">
      <c r="B57" s="5" t="s">
        <v>23</v>
      </c>
      <c r="C57" s="47">
        <f t="shared" ref="C57:L57" si="6">C42</f>
        <v>0</v>
      </c>
      <c r="D57" s="47">
        <f t="shared" si="6"/>
        <v>0</v>
      </c>
      <c r="E57" s="5">
        <f t="shared" si="6"/>
        <v>0</v>
      </c>
      <c r="F57" s="5">
        <f t="shared" si="6"/>
        <v>34.310192923290387</v>
      </c>
      <c r="G57" s="5">
        <f t="shared" si="6"/>
        <v>0</v>
      </c>
      <c r="H57" s="5">
        <f t="shared" si="6"/>
        <v>16.116472953810408</v>
      </c>
      <c r="I57" s="5">
        <f t="shared" si="6"/>
        <v>0</v>
      </c>
      <c r="J57" s="5">
        <f t="shared" si="6"/>
        <v>4.6934186601536956</v>
      </c>
      <c r="K57" s="5">
        <f t="shared" si="6"/>
        <v>0</v>
      </c>
      <c r="L57" s="5">
        <f t="shared" si="6"/>
        <v>3.0261123761515609</v>
      </c>
      <c r="O57" s="4"/>
      <c r="Y57" s="4"/>
      <c r="AF57" s="43"/>
    </row>
    <row r="58" spans="2:41" ht="15" customHeight="1">
      <c r="B58" s="5" t="s">
        <v>79</v>
      </c>
      <c r="C58" s="47">
        <f>C43</f>
        <v>-16.116472953810408</v>
      </c>
      <c r="D58" s="49">
        <f>-12*K50</f>
        <v>-24.174709430715613</v>
      </c>
      <c r="E58" s="47">
        <f>E43</f>
        <v>0</v>
      </c>
      <c r="F58" s="45">
        <f>F43-G58</f>
        <v>22.222838207932579</v>
      </c>
      <c r="G58" s="45">
        <f>12*K50</f>
        <v>24.174709430715613</v>
      </c>
      <c r="H58" s="45">
        <f>H43</f>
        <v>0</v>
      </c>
      <c r="I58" s="45">
        <f>I43</f>
        <v>0</v>
      </c>
      <c r="J58" s="45">
        <f>J43</f>
        <v>8.7225368986062968</v>
      </c>
      <c r="K58" s="45">
        <v>0</v>
      </c>
      <c r="L58" s="45">
        <f>L43</f>
        <v>5.040671495377862</v>
      </c>
      <c r="M58" s="45"/>
      <c r="N58" s="45"/>
      <c r="O58" s="4" t="s">
        <v>79</v>
      </c>
      <c r="P58" s="23">
        <f>F58/(F58+G58)*L58*6/F58</f>
        <v>0.65184542096519182</v>
      </c>
      <c r="Q58" s="23">
        <f t="shared" ref="Q58" si="7">2-P58-R58/2</f>
        <v>1.3481545790348082</v>
      </c>
      <c r="R58" s="23">
        <f>2*K58*6/F58</f>
        <v>0</v>
      </c>
      <c r="S58" s="23">
        <f t="shared" ref="S58" si="8">2-R58/2</f>
        <v>2</v>
      </c>
      <c r="T58" s="23"/>
      <c r="U58" s="23">
        <f>G58/(F58+G58)*L58*12/G58</f>
        <v>1.3036908419303836</v>
      </c>
      <c r="V58" s="23">
        <f>X58-U58</f>
        <v>1.6963091580696164</v>
      </c>
      <c r="W58" s="23">
        <f>2+2*K58*12/G58</f>
        <v>2</v>
      </c>
      <c r="X58" s="23">
        <f>3-K58*12/G58</f>
        <v>3</v>
      </c>
      <c r="Y58" s="4" t="s">
        <v>79</v>
      </c>
      <c r="Z58" s="45">
        <f>Z38/4/(F58+Z38)</f>
        <v>0.16010635462343703</v>
      </c>
      <c r="AA58" s="45">
        <f>Z38/2/(Z38+F58)</f>
        <v>0.32021270924687406</v>
      </c>
      <c r="AB58" s="45">
        <f>(Z38/4+P58*F58)/(Z38+F58)</f>
        <v>0.39449339907376241</v>
      </c>
      <c r="AC58" s="45">
        <f>Q58*F58/(Z38+F58)</f>
        <v>0.48476211856217827</v>
      </c>
      <c r="AD58" s="45">
        <f>(Z38+R58*F58)/(Z38+F58)</f>
        <v>0.64042541849374812</v>
      </c>
      <c r="AE58" s="45">
        <f>(2*Z38+S58*F58)/(Z38+F58)</f>
        <v>2</v>
      </c>
      <c r="AF58" s="43"/>
      <c r="AG58" s="46">
        <f>U58</f>
        <v>1.3036908419303836</v>
      </c>
      <c r="AH58" s="46">
        <f t="shared" ref="AH58:AJ58" si="9">V58</f>
        <v>1.6963091580696164</v>
      </c>
      <c r="AI58" s="46">
        <f t="shared" si="9"/>
        <v>2</v>
      </c>
      <c r="AJ58" s="46">
        <f t="shared" si="9"/>
        <v>3</v>
      </c>
    </row>
    <row r="59" spans="2:41" ht="15" customHeight="1">
      <c r="B59" s="5" t="s">
        <v>80</v>
      </c>
      <c r="C59" s="5">
        <f>C58</f>
        <v>-16.116472953810408</v>
      </c>
      <c r="D59" s="47">
        <f>D46-(-K46/(-K46+K47))*D46</f>
        <v>-6.043677357678904</v>
      </c>
      <c r="E59" s="47">
        <f>E46-(-K46/(-K46+K47))*E46</f>
        <v>-10.072795596131504</v>
      </c>
      <c r="F59" s="45">
        <f>G68</f>
        <v>40.353870280969289</v>
      </c>
      <c r="G59" s="45">
        <f>G47</f>
        <v>0</v>
      </c>
      <c r="H59" s="45">
        <v>0</v>
      </c>
      <c r="I59" s="45">
        <f>I68</f>
        <v>10.072795596131504</v>
      </c>
      <c r="J59" s="45">
        <f>J68</f>
        <v>4.6934186601536947</v>
      </c>
      <c r="K59" s="45">
        <v>0</v>
      </c>
      <c r="L59" s="45">
        <f>L47</f>
        <v>5.040671495377862</v>
      </c>
      <c r="M59" s="45"/>
      <c r="N59" s="45"/>
      <c r="O59" s="4" t="s">
        <v>80</v>
      </c>
      <c r="P59" s="23">
        <f>L59*6/F59</f>
        <v>0.74947034229155773</v>
      </c>
      <c r="Q59" s="23">
        <f>2-P59-R59/2</f>
        <v>1.2505296577084422</v>
      </c>
      <c r="R59" s="23">
        <f>2*K59*6/F59</f>
        <v>0</v>
      </c>
      <c r="S59" s="23">
        <f>2-R59/2</f>
        <v>2</v>
      </c>
      <c r="T59" s="23"/>
      <c r="U59" s="23"/>
      <c r="V59" s="23"/>
      <c r="W59" s="23"/>
      <c r="X59" s="23"/>
      <c r="Y59" s="4" t="s">
        <v>80</v>
      </c>
      <c r="Z59" s="45">
        <f>Z38/4/(F59+Z38)</f>
        <v>0.12379030386795475</v>
      </c>
      <c r="AA59" s="45">
        <f>Z38/2/(Z38+F59)</f>
        <v>0.24758060773590951</v>
      </c>
      <c r="AB59" s="45">
        <f>(Z38/4+P59*F59)/(Z38+F59)</f>
        <v>0.50215200051034459</v>
      </c>
      <c r="AC59" s="45">
        <f>Q59*F59/(Z38+F59)</f>
        <v>0.63131587241397225</v>
      </c>
      <c r="AD59" s="45">
        <f>(Z38+R59*F59)/(Z38+F59)</f>
        <v>0.49516121547181902</v>
      </c>
      <c r="AE59" s="45">
        <f>(2*Z38+S59*F59)/(Z38+F59)</f>
        <v>2</v>
      </c>
      <c r="AF59" s="43"/>
      <c r="AG59" s="43"/>
      <c r="AH59" s="43"/>
      <c r="AI59" s="43"/>
      <c r="AJ59" s="43"/>
    </row>
    <row r="60" spans="2:41" ht="15" customHeight="1">
      <c r="B60" s="5" t="s">
        <v>23</v>
      </c>
      <c r="C60" s="5">
        <f t="shared" ref="C60:L60" si="10">C57</f>
        <v>0</v>
      </c>
      <c r="D60" s="5">
        <f t="shared" si="10"/>
        <v>0</v>
      </c>
      <c r="E60" s="5">
        <f t="shared" si="10"/>
        <v>0</v>
      </c>
      <c r="F60" s="5">
        <f t="shared" si="10"/>
        <v>34.310192923290387</v>
      </c>
      <c r="G60" s="5">
        <f t="shared" si="10"/>
        <v>0</v>
      </c>
      <c r="H60" s="5">
        <f t="shared" si="10"/>
        <v>16.116472953810408</v>
      </c>
      <c r="I60" s="5">
        <f t="shared" si="10"/>
        <v>0</v>
      </c>
      <c r="J60" s="5">
        <f t="shared" si="10"/>
        <v>4.6934186601536956</v>
      </c>
      <c r="K60" s="5">
        <f t="shared" si="10"/>
        <v>0</v>
      </c>
      <c r="L60" s="5">
        <f t="shared" si="10"/>
        <v>3.0261123761515609</v>
      </c>
      <c r="O60" s="4"/>
      <c r="Y60" s="4"/>
      <c r="AF60" s="43"/>
    </row>
    <row r="61" spans="2:41" ht="15" customHeight="1">
      <c r="O61" s="4"/>
      <c r="Y61" s="4"/>
      <c r="AF61" s="43"/>
    </row>
    <row r="62" spans="2:41" ht="15" customHeight="1">
      <c r="B62" s="5" t="s">
        <v>38</v>
      </c>
      <c r="O62" s="4"/>
      <c r="Y62" s="4"/>
      <c r="AF62" s="43"/>
    </row>
    <row r="63" spans="2:41" ht="15" customHeight="1">
      <c r="B63" s="5" t="s">
        <v>35</v>
      </c>
      <c r="C63" s="47">
        <f>C42</f>
        <v>0</v>
      </c>
      <c r="D63" s="47">
        <f t="shared" ref="D63:L63" si="11">D42</f>
        <v>0</v>
      </c>
      <c r="E63" s="5">
        <f t="shared" si="11"/>
        <v>0</v>
      </c>
      <c r="F63" s="5">
        <f t="shared" si="11"/>
        <v>34.310192923290387</v>
      </c>
      <c r="G63" s="5">
        <f t="shared" si="11"/>
        <v>0</v>
      </c>
      <c r="H63" s="5">
        <f t="shared" si="11"/>
        <v>16.116472953810408</v>
      </c>
      <c r="I63" s="5">
        <f t="shared" si="11"/>
        <v>0</v>
      </c>
      <c r="J63" s="5">
        <f t="shared" si="11"/>
        <v>4.6934186601536956</v>
      </c>
      <c r="K63" s="5">
        <f t="shared" si="11"/>
        <v>0</v>
      </c>
      <c r="L63" s="5">
        <f t="shared" si="11"/>
        <v>3.0261123761515609</v>
      </c>
      <c r="O63" s="4"/>
      <c r="Y63" s="4"/>
      <c r="AF63" s="43"/>
    </row>
    <row r="64" spans="2:41" ht="15" customHeight="1">
      <c r="B64" s="5" t="s">
        <v>81</v>
      </c>
      <c r="C64" s="47">
        <f>C63</f>
        <v>0</v>
      </c>
      <c r="D64" s="47">
        <f>D63-F63</f>
        <v>-34.310192923290387</v>
      </c>
      <c r="E64" s="5">
        <v>0</v>
      </c>
      <c r="F64" s="5">
        <f>0</f>
        <v>0</v>
      </c>
      <c r="G64" s="5">
        <f>G53+(H42/H52)*(G52-G53)</f>
        <v>34.310192923290387</v>
      </c>
      <c r="H64" s="5">
        <f>H42</f>
        <v>16.116472953810408</v>
      </c>
      <c r="I64" s="5">
        <f>I42</f>
        <v>0</v>
      </c>
      <c r="J64" s="5">
        <f>J42</f>
        <v>4.6934186601536956</v>
      </c>
      <c r="K64" s="5">
        <f>K53+(H42/H52)*(K52-K53)</f>
        <v>-2.8591827436075321</v>
      </c>
      <c r="L64" s="5">
        <f>L42</f>
        <v>3.0261123761515609</v>
      </c>
      <c r="O64" s="4" t="s">
        <v>81</v>
      </c>
      <c r="U64" s="44">
        <f>L64*12/G64</f>
        <v>1.0583836877573651</v>
      </c>
      <c r="V64" s="44">
        <f>X64-U64</f>
        <v>2.9416163122426351</v>
      </c>
      <c r="W64" s="44">
        <f>2+2*K64*12/G64</f>
        <v>0</v>
      </c>
      <c r="X64" s="44">
        <f>3-K64*12/G64</f>
        <v>4</v>
      </c>
      <c r="Y64" s="4" t="s">
        <v>81</v>
      </c>
      <c r="AF64" s="43"/>
      <c r="AG64" s="46">
        <f>U64</f>
        <v>1.0583836877573651</v>
      </c>
      <c r="AH64" s="46">
        <f t="shared" ref="AH64:AJ64" si="12">V64</f>
        <v>2.9416163122426351</v>
      </c>
      <c r="AI64" s="46">
        <f t="shared" si="12"/>
        <v>0</v>
      </c>
      <c r="AJ64" s="46">
        <f t="shared" si="12"/>
        <v>4</v>
      </c>
      <c r="AL64" s="45">
        <f>(2*Z38/3)/(Z38+H64)</f>
        <v>0.47375935115353079</v>
      </c>
      <c r="AM64" s="45">
        <f>(Z38/3+H64)/(Z38+H64)</f>
        <v>0.52624064884646915</v>
      </c>
      <c r="AN64" s="45">
        <f>(4*Z38/3+2*H64)/(Z38+H64)</f>
        <v>1.5262406488464693</v>
      </c>
      <c r="AO64" s="45">
        <f>(8*Z38/3+2*H64)/(Z38+H64)</f>
        <v>2.4737593511535305</v>
      </c>
    </row>
    <row r="65" spans="2:36" ht="15" customHeight="1">
      <c r="O65" s="4"/>
      <c r="U65" s="44"/>
      <c r="V65" s="44"/>
      <c r="W65" s="44"/>
      <c r="X65" s="44"/>
      <c r="Y65" s="4"/>
      <c r="AF65" s="43"/>
    </row>
    <row r="66" spans="2:36" ht="15" customHeight="1">
      <c r="B66" s="5" t="s">
        <v>39</v>
      </c>
      <c r="O66" s="4"/>
      <c r="U66" s="44"/>
      <c r="V66" s="44"/>
      <c r="W66" s="44"/>
      <c r="X66" s="44"/>
      <c r="Y66" s="4"/>
      <c r="AF66" s="43"/>
    </row>
    <row r="67" spans="2:36" ht="15" customHeight="1">
      <c r="B67" s="5" t="s">
        <v>82</v>
      </c>
      <c r="C67" s="5">
        <f>C59</f>
        <v>-16.116472953810408</v>
      </c>
      <c r="D67" s="47">
        <f t="shared" ref="D67:E67" si="13">D59</f>
        <v>-6.043677357678904</v>
      </c>
      <c r="E67" s="47">
        <f t="shared" si="13"/>
        <v>-10.072795596131504</v>
      </c>
      <c r="O67" s="4"/>
      <c r="U67" s="44"/>
      <c r="V67" s="44"/>
      <c r="W67" s="44"/>
      <c r="X67" s="44"/>
      <c r="Y67" s="4"/>
      <c r="AF67" s="43"/>
    </row>
    <row r="68" spans="2:36" ht="15" customHeight="1">
      <c r="B68" s="5" t="s">
        <v>83</v>
      </c>
      <c r="C68" s="5">
        <f>C67</f>
        <v>-16.116472953810408</v>
      </c>
      <c r="D68" s="47">
        <f>D67-G68</f>
        <v>-46.397547638648192</v>
      </c>
      <c r="E68" s="47">
        <f>-I68</f>
        <v>-10.072795596131504</v>
      </c>
      <c r="F68" s="5">
        <v>0</v>
      </c>
      <c r="G68" s="5">
        <f>G44+(H42/H51)*(G45-G44)</f>
        <v>40.353870280969289</v>
      </c>
      <c r="H68" s="5">
        <f>0</f>
        <v>0</v>
      </c>
      <c r="I68" s="5">
        <f>I44+(H42/H51)*(I45-I43)</f>
        <v>10.072795596131504</v>
      </c>
      <c r="J68" s="5">
        <f>J44+(H42/H51)*(J45-J44)</f>
        <v>4.6934186601536947</v>
      </c>
      <c r="K68" s="5">
        <f>K44+(H42/H51)*(K45-K44)</f>
        <v>-3.3628225234141071</v>
      </c>
      <c r="L68" s="5">
        <f>L45</f>
        <v>5.040671495377862</v>
      </c>
      <c r="O68" s="4" t="s">
        <v>83</v>
      </c>
      <c r="U68" s="44">
        <f>L68*12/G68</f>
        <v>1.4989406845831155</v>
      </c>
      <c r="V68" s="44">
        <f>X68-U68</f>
        <v>2.5010593154168843</v>
      </c>
      <c r="W68" s="44">
        <f>2+2*K68*12/G68</f>
        <v>0</v>
      </c>
      <c r="X68" s="44">
        <f>3-K68*12/G68</f>
        <v>4</v>
      </c>
      <c r="Y68" s="4" t="s">
        <v>83</v>
      </c>
      <c r="AF68" s="43"/>
      <c r="AG68" s="46">
        <f>U68</f>
        <v>1.4989406845831155</v>
      </c>
      <c r="AH68" s="46">
        <f t="shared" ref="AH68:AJ68" si="14">V68</f>
        <v>2.5010593154168843</v>
      </c>
      <c r="AI68" s="46">
        <f t="shared" si="14"/>
        <v>0</v>
      </c>
      <c r="AJ68" s="46">
        <f t="shared" si="14"/>
        <v>4</v>
      </c>
    </row>
    <row r="69" spans="2:36" ht="15" customHeight="1">
      <c r="O69" s="4"/>
      <c r="AF69" s="43"/>
    </row>
    <row r="98" spans="2:4" ht="15" customHeight="1">
      <c r="B98" s="5" t="s">
        <v>0</v>
      </c>
    </row>
    <row r="99" spans="2:4" ht="15" customHeight="1">
      <c r="C99" s="5" t="s">
        <v>89</v>
      </c>
    </row>
    <row r="100" spans="2:4" ht="15" customHeight="1">
      <c r="D100" s="5" t="s">
        <v>73</v>
      </c>
    </row>
    <row r="101" spans="2:4" ht="15" customHeight="1">
      <c r="D101" s="5" t="s">
        <v>93</v>
      </c>
    </row>
    <row r="103" spans="2:4" ht="15" customHeight="1">
      <c r="C103" s="5" t="s">
        <v>40</v>
      </c>
    </row>
    <row r="104" spans="2:4" ht="15" customHeight="1">
      <c r="D104" s="5" t="s">
        <v>41</v>
      </c>
    </row>
    <row r="105" spans="2:4" ht="15" customHeight="1">
      <c r="D105" s="5" t="s">
        <v>42</v>
      </c>
    </row>
  </sheetData>
  <phoneticPr fontId="1"/>
  <pageMargins left="0.75" right="0.75" top="1" bottom="1" header="0.5" footer="0.5"/>
  <pageSetup scale="56" orientation="portrait" horizontalDpi="4294967292" verticalDpi="4294967292"/>
  <rowBreaks count="1" manualBreakCount="1">
    <brk id="68" min="1" max="12" man="1" pt="1"/>
  </rowBreaks>
  <ignoredErrors>
    <ignoredError sqref="G52 H51 I45:J45 K44 K46 K52 H43 G45 I52 D44 D46 E45 D52 D58" formula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59C5-A1E6-4174-87B1-E61982A7E891}">
  <dimension ref="B1:AO104"/>
  <sheetViews>
    <sheetView topLeftCell="A65" workbookViewId="0">
      <selection activeCell="Y79" sqref="Y79"/>
    </sheetView>
  </sheetViews>
  <sheetFormatPr defaultColWidth="10.73046875" defaultRowHeight="15" customHeight="1"/>
  <cols>
    <col min="1" max="1" width="5.73046875" style="5" customWidth="1"/>
    <col min="2" max="2" width="12.73046875" style="5" customWidth="1"/>
    <col min="3" max="15" width="10.73046875" style="5"/>
    <col min="16" max="24" width="4.59765625" style="5" customWidth="1"/>
    <col min="25" max="25" width="10.73046875" style="5"/>
    <col min="26" max="43" width="5.59765625" style="5" customWidth="1"/>
    <col min="44" max="16384" width="10.73046875" style="5"/>
  </cols>
  <sheetData>
    <row r="1" spans="2:14" ht="15" customHeight="1">
      <c r="B1" s="5" t="s">
        <v>33</v>
      </c>
      <c r="D1" s="6" t="s">
        <v>186</v>
      </c>
      <c r="E1" s="7"/>
      <c r="G1" s="6" t="s">
        <v>185</v>
      </c>
      <c r="I1" s="8"/>
    </row>
    <row r="2" spans="2:14" ht="15" customHeight="1">
      <c r="G2" s="9" t="s">
        <v>184</v>
      </c>
    </row>
    <row r="4" spans="2:14" ht="15" customHeight="1">
      <c r="C4" s="10" t="s">
        <v>31</v>
      </c>
      <c r="G4" s="9" t="s">
        <v>64</v>
      </c>
    </row>
    <row r="5" spans="2:14" ht="15" customHeight="1">
      <c r="C5" s="10" t="s">
        <v>66</v>
      </c>
      <c r="I5" s="11" t="s">
        <v>49</v>
      </c>
    </row>
    <row r="6" spans="2:14" ht="15" customHeight="1">
      <c r="C6" s="10" t="s">
        <v>32</v>
      </c>
      <c r="E6" s="11" t="s">
        <v>55</v>
      </c>
      <c r="G6" s="1" t="s">
        <v>56</v>
      </c>
      <c r="H6" s="1" t="s">
        <v>57</v>
      </c>
      <c r="I6" s="1" t="s">
        <v>52</v>
      </c>
      <c r="J6" s="1" t="s">
        <v>53</v>
      </c>
      <c r="K6" s="1" t="s">
        <v>58</v>
      </c>
      <c r="M6" s="1" t="s">
        <v>59</v>
      </c>
    </row>
    <row r="7" spans="2:14" ht="15" customHeight="1">
      <c r="B7" s="11" t="s">
        <v>34</v>
      </c>
      <c r="C7" s="12" t="s">
        <v>30</v>
      </c>
      <c r="E7" s="89" t="s">
        <v>90</v>
      </c>
      <c r="G7" s="14">
        <v>0</v>
      </c>
      <c r="H7" s="14">
        <v>0</v>
      </c>
      <c r="I7" s="14">
        <v>0</v>
      </c>
      <c r="J7" s="14">
        <f>1/3</f>
        <v>0.33333333333333331</v>
      </c>
      <c r="K7" s="14">
        <f>2/3</f>
        <v>0.66666666666666663</v>
      </c>
      <c r="M7" s="2" t="s">
        <v>56</v>
      </c>
    </row>
    <row r="8" spans="2:14" ht="15" customHeight="1">
      <c r="B8" s="27" t="s">
        <v>1</v>
      </c>
      <c r="C8" s="15">
        <v>14.966894984815214</v>
      </c>
      <c r="E8" s="16" t="s">
        <v>60</v>
      </c>
      <c r="G8" s="14">
        <v>0</v>
      </c>
      <c r="H8" s="14">
        <v>1</v>
      </c>
      <c r="I8" s="14">
        <v>0</v>
      </c>
      <c r="J8" s="14">
        <v>0</v>
      </c>
      <c r="K8" s="14">
        <v>0</v>
      </c>
      <c r="M8" s="2" t="s">
        <v>65</v>
      </c>
    </row>
    <row r="9" spans="2:14" ht="15" customHeight="1">
      <c r="B9" s="27" t="s">
        <v>2</v>
      </c>
      <c r="C9" s="17">
        <v>23.698866363844907</v>
      </c>
      <c r="E9" s="16" t="s">
        <v>52</v>
      </c>
      <c r="F9" s="18" t="s">
        <v>63</v>
      </c>
      <c r="G9" s="14">
        <v>0</v>
      </c>
      <c r="H9" s="14">
        <v>0</v>
      </c>
      <c r="I9" s="14">
        <v>1</v>
      </c>
      <c r="J9" s="14">
        <v>0</v>
      </c>
      <c r="K9" s="14">
        <v>0</v>
      </c>
      <c r="L9" s="11" t="s">
        <v>59</v>
      </c>
      <c r="M9" s="2" t="s">
        <v>52</v>
      </c>
    </row>
    <row r="10" spans="2:14" ht="15" customHeight="1">
      <c r="B10" s="27" t="s">
        <v>24</v>
      </c>
      <c r="C10" s="17">
        <v>-5.7581508851823848</v>
      </c>
      <c r="E10" s="16" t="s">
        <v>53</v>
      </c>
      <c r="F10" s="11"/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1"/>
      <c r="M10" s="2" t="s">
        <v>53</v>
      </c>
    </row>
    <row r="11" spans="2:14" ht="15" customHeight="1">
      <c r="B11" s="27" t="s">
        <v>25</v>
      </c>
      <c r="C11" s="15">
        <v>39.071911662830082</v>
      </c>
      <c r="E11" s="19" t="s">
        <v>5</v>
      </c>
      <c r="F11" s="11"/>
      <c r="G11" s="14">
        <v>6</v>
      </c>
      <c r="H11" s="14">
        <v>0</v>
      </c>
      <c r="I11" s="14">
        <v>0</v>
      </c>
      <c r="J11" s="14">
        <v>0</v>
      </c>
      <c r="K11" s="14">
        <v>0</v>
      </c>
      <c r="L11" s="11"/>
      <c r="M11" s="2" t="s">
        <v>58</v>
      </c>
    </row>
    <row r="12" spans="2:14" ht="15" customHeight="1">
      <c r="B12" s="27" t="s">
        <v>26</v>
      </c>
      <c r="C12" s="15">
        <v>22.57558888453994</v>
      </c>
      <c r="F12" s="11"/>
      <c r="L12" s="11"/>
    </row>
    <row r="13" spans="2:14" ht="15" customHeight="1">
      <c r="B13" s="27" t="s">
        <v>27</v>
      </c>
      <c r="C13" s="15">
        <v>0.25448449997320494</v>
      </c>
      <c r="E13" s="11" t="s">
        <v>61</v>
      </c>
      <c r="F13" s="11"/>
      <c r="I13" s="11" t="s">
        <v>72</v>
      </c>
      <c r="L13" s="11"/>
      <c r="M13" s="11" t="s">
        <v>62</v>
      </c>
      <c r="N13" s="11" t="s">
        <v>59</v>
      </c>
    </row>
    <row r="14" spans="2:14" ht="15" customHeight="1">
      <c r="B14" s="27" t="s">
        <v>69</v>
      </c>
      <c r="C14" s="15">
        <v>1.8626486191529243</v>
      </c>
      <c r="E14" s="89" t="s">
        <v>90</v>
      </c>
      <c r="F14" s="11"/>
      <c r="G14" s="14">
        <f t="array" ref="G14:K18">TRANSPOSE(MINVERSE(G7:K11))</f>
        <v>0</v>
      </c>
      <c r="H14" s="14">
        <v>0</v>
      </c>
      <c r="I14" s="14">
        <v>0</v>
      </c>
      <c r="J14" s="14">
        <v>0</v>
      </c>
      <c r="K14" s="14">
        <v>1.5</v>
      </c>
      <c r="L14" s="11"/>
      <c r="M14" s="22">
        <f>C8</f>
        <v>14.966894984815214</v>
      </c>
      <c r="N14" s="3" t="s">
        <v>56</v>
      </c>
    </row>
    <row r="15" spans="2:14" ht="15" customHeight="1">
      <c r="B15" s="27" t="s">
        <v>70</v>
      </c>
      <c r="C15" s="15">
        <v>3.3047399779538846</v>
      </c>
      <c r="E15" s="16" t="s">
        <v>60</v>
      </c>
      <c r="F15" s="11"/>
      <c r="G15" s="14">
        <v>0</v>
      </c>
      <c r="H15" s="14">
        <v>1</v>
      </c>
      <c r="I15" s="14">
        <v>0</v>
      </c>
      <c r="J15" s="14">
        <v>0</v>
      </c>
      <c r="K15" s="14">
        <v>0</v>
      </c>
      <c r="L15" s="11"/>
      <c r="M15" s="22">
        <f>C8+C9</f>
        <v>38.665761348660119</v>
      </c>
      <c r="N15" s="3" t="s">
        <v>65</v>
      </c>
    </row>
    <row r="16" spans="2:14" ht="15" customHeight="1">
      <c r="B16" s="27" t="s">
        <v>28</v>
      </c>
      <c r="C16" s="15">
        <v>2.3015892072212212E-2</v>
      </c>
      <c r="E16" s="16" t="s">
        <v>52</v>
      </c>
      <c r="F16" s="18" t="s">
        <v>63</v>
      </c>
      <c r="G16" s="14">
        <v>0</v>
      </c>
      <c r="H16" s="14">
        <v>0</v>
      </c>
      <c r="I16" s="14">
        <v>1</v>
      </c>
      <c r="J16" s="14">
        <v>0</v>
      </c>
      <c r="K16" s="14">
        <v>0</v>
      </c>
      <c r="L16" s="11" t="s">
        <v>59</v>
      </c>
      <c r="M16" s="22">
        <f>C10</f>
        <v>-5.7581508851823848</v>
      </c>
      <c r="N16" s="3" t="s">
        <v>52</v>
      </c>
    </row>
    <row r="17" spans="2:15" ht="15" customHeight="1">
      <c r="B17" s="4" t="s">
        <v>68</v>
      </c>
      <c r="C17" s="23">
        <f>SUM(C8:C16)</f>
        <v>99.999999999999972</v>
      </c>
      <c r="E17" s="16" t="s">
        <v>53</v>
      </c>
      <c r="G17" s="14">
        <v>0</v>
      </c>
      <c r="H17" s="14">
        <v>0</v>
      </c>
      <c r="I17" s="14">
        <v>0</v>
      </c>
      <c r="J17" s="14">
        <v>1</v>
      </c>
      <c r="K17" s="14">
        <v>-0.5</v>
      </c>
      <c r="M17" s="22">
        <f>C11</f>
        <v>39.071911662830082</v>
      </c>
      <c r="N17" s="3" t="s">
        <v>53</v>
      </c>
    </row>
    <row r="18" spans="2:15" ht="15" customHeight="1">
      <c r="B18" s="27" t="s">
        <v>75</v>
      </c>
      <c r="C18" s="23">
        <f>SUM(C8:C13)</f>
        <v>94.809595510820955</v>
      </c>
      <c r="E18" s="19" t="s">
        <v>5</v>
      </c>
      <c r="G18" s="14">
        <v>0.16666666666666666</v>
      </c>
      <c r="H18" s="14">
        <v>0</v>
      </c>
      <c r="I18" s="14">
        <v>0</v>
      </c>
      <c r="J18" s="14">
        <v>0</v>
      </c>
      <c r="K18" s="14">
        <v>0</v>
      </c>
      <c r="M18" s="22">
        <f>C12+C13</f>
        <v>22.830073384513145</v>
      </c>
      <c r="N18" s="3" t="s">
        <v>58</v>
      </c>
      <c r="O18" s="88"/>
    </row>
    <row r="19" spans="2:15" ht="15" customHeight="1">
      <c r="B19" s="4"/>
      <c r="C19" s="23"/>
      <c r="O19" s="88"/>
    </row>
    <row r="20" spans="2:15" ht="15" customHeight="1">
      <c r="C20" s="23"/>
      <c r="E20" s="90" t="s">
        <v>55</v>
      </c>
      <c r="F20" s="11" t="s">
        <v>61</v>
      </c>
      <c r="K20" s="4"/>
      <c r="L20" s="4" t="s">
        <v>71</v>
      </c>
      <c r="O20" s="88"/>
    </row>
    <row r="21" spans="2:15" ht="15" customHeight="1">
      <c r="C21" s="23"/>
      <c r="E21" s="89" t="s">
        <v>90</v>
      </c>
      <c r="F21" s="87">
        <f t="array" ref="F21:F25">MMULT(G14:K18,M14:M18)</f>
        <v>34.24511007676972</v>
      </c>
      <c r="K21" s="27" t="s">
        <v>90</v>
      </c>
      <c r="L21" s="87">
        <f>F21</f>
        <v>34.24511007676972</v>
      </c>
      <c r="O21" s="88"/>
    </row>
    <row r="22" spans="2:15" ht="15" customHeight="1">
      <c r="C22" s="23"/>
      <c r="E22" s="16" t="s">
        <v>60</v>
      </c>
      <c r="F22" s="28">
        <v>38.665761348660119</v>
      </c>
      <c r="K22" s="27" t="s">
        <v>54</v>
      </c>
      <c r="L22" s="28">
        <f>F22</f>
        <v>38.665761348660119</v>
      </c>
      <c r="M22" s="5" t="s">
        <v>3</v>
      </c>
      <c r="O22" s="88"/>
    </row>
    <row r="23" spans="2:15" ht="15" customHeight="1">
      <c r="C23" s="23"/>
      <c r="E23" s="16" t="s">
        <v>52</v>
      </c>
      <c r="F23" s="28">
        <v>-5.7581508851823848</v>
      </c>
      <c r="K23" s="29" t="s">
        <v>50</v>
      </c>
      <c r="L23" s="30">
        <v>0</v>
      </c>
      <c r="O23" s="88"/>
    </row>
    <row r="24" spans="2:15" ht="15" customHeight="1">
      <c r="C24" s="23"/>
      <c r="E24" s="16" t="s">
        <v>53</v>
      </c>
      <c r="F24" s="28">
        <v>27.656874970573512</v>
      </c>
      <c r="K24" s="29" t="s">
        <v>51</v>
      </c>
      <c r="L24" s="30">
        <v>0</v>
      </c>
      <c r="O24" s="88"/>
    </row>
    <row r="25" spans="2:15" ht="15" customHeight="1">
      <c r="C25" s="23"/>
      <c r="E25" s="19" t="s">
        <v>5</v>
      </c>
      <c r="F25" s="31">
        <v>2.4944824974692024</v>
      </c>
      <c r="K25" s="27" t="s">
        <v>52</v>
      </c>
      <c r="L25" s="28">
        <f>F23</f>
        <v>-5.7581508851823848</v>
      </c>
      <c r="O25" s="88"/>
    </row>
    <row r="26" spans="2:15" ht="15" customHeight="1">
      <c r="K26" s="27" t="s">
        <v>53</v>
      </c>
      <c r="L26" s="28">
        <f>C11-(1/2)*(C12+C13)</f>
        <v>27.656874970573512</v>
      </c>
    </row>
    <row r="27" spans="2:15" ht="15" customHeight="1">
      <c r="B27" s="12" t="s">
        <v>8</v>
      </c>
      <c r="C27" s="33" t="s">
        <v>60</v>
      </c>
      <c r="D27" s="33" t="s">
        <v>50</v>
      </c>
      <c r="E27" s="33" t="s">
        <v>53</v>
      </c>
      <c r="F27" s="33" t="s">
        <v>51</v>
      </c>
      <c r="G27" s="33" t="s">
        <v>52</v>
      </c>
      <c r="H27" s="34" t="s">
        <v>6</v>
      </c>
      <c r="I27" s="34" t="s">
        <v>5</v>
      </c>
      <c r="K27" s="35" t="s">
        <v>6</v>
      </c>
      <c r="L27" s="36">
        <v>0</v>
      </c>
    </row>
    <row r="28" spans="2:15" ht="15" customHeight="1">
      <c r="B28" s="5" t="s">
        <v>9</v>
      </c>
      <c r="C28" s="5">
        <v>-0.75</v>
      </c>
      <c r="D28" s="5">
        <v>0</v>
      </c>
      <c r="E28" s="5">
        <v>1</v>
      </c>
      <c r="F28" s="5">
        <v>0</v>
      </c>
      <c r="G28" s="5">
        <v>-0.25</v>
      </c>
      <c r="H28" s="5">
        <v>-0.125</v>
      </c>
      <c r="I28" s="5">
        <v>-0.125</v>
      </c>
      <c r="K28" s="4" t="s">
        <v>183</v>
      </c>
      <c r="L28" s="37">
        <f>F25</f>
        <v>2.4944824974692024</v>
      </c>
      <c r="M28" s="5" t="s">
        <v>4</v>
      </c>
    </row>
    <row r="29" spans="2:15" ht="15" customHeight="1">
      <c r="B29" s="5" t="s">
        <v>10</v>
      </c>
      <c r="C29" s="5">
        <v>0</v>
      </c>
      <c r="D29" s="5">
        <v>0.6</v>
      </c>
      <c r="E29" s="5">
        <v>0</v>
      </c>
      <c r="F29" s="5">
        <v>-1</v>
      </c>
      <c r="G29" s="5">
        <v>0.4</v>
      </c>
      <c r="H29" s="5">
        <v>0.15</v>
      </c>
      <c r="I29" s="5">
        <v>0</v>
      </c>
      <c r="K29" s="4" t="s">
        <v>7</v>
      </c>
      <c r="L29" s="87">
        <f>SUM(L21:L26)</f>
        <v>94.809595510820955</v>
      </c>
    </row>
    <row r="30" spans="2:15" ht="15" customHeight="1">
      <c r="B30" s="5" t="s">
        <v>36</v>
      </c>
      <c r="C30" s="5">
        <v>1</v>
      </c>
      <c r="D30" s="5">
        <v>-1</v>
      </c>
      <c r="E30" s="5">
        <v>0</v>
      </c>
      <c r="F30" s="5">
        <v>0</v>
      </c>
      <c r="G30" s="5">
        <v>0</v>
      </c>
      <c r="H30" s="38">
        <f>1/12</f>
        <v>8.3333333333333329E-2</v>
      </c>
      <c r="I30" s="5">
        <v>0</v>
      </c>
      <c r="K30" s="4" t="s">
        <v>182</v>
      </c>
      <c r="L30" s="39">
        <f>L29-L21</f>
        <v>60.564485434051235</v>
      </c>
    </row>
    <row r="32" spans="2:15" ht="15" customHeight="1">
      <c r="C32" s="27" t="s">
        <v>181</v>
      </c>
      <c r="D32" s="55">
        <f>L21</f>
        <v>34.24511007676972</v>
      </c>
      <c r="E32" s="5" t="s">
        <v>11</v>
      </c>
    </row>
    <row r="33" spans="2:41" ht="15" customHeight="1">
      <c r="B33" s="4"/>
      <c r="C33" s="40"/>
    </row>
    <row r="34" spans="2:41" ht="15" customHeight="1">
      <c r="B34" s="51" t="s">
        <v>76</v>
      </c>
      <c r="C34" s="52" t="str">
        <f>IF(J43&lt;0,"NO volume for Qz", " ")</f>
        <v xml:space="preserve"> </v>
      </c>
      <c r="D34" s="53"/>
      <c r="E34" s="53"/>
      <c r="F34" s="5" t="s">
        <v>77</v>
      </c>
    </row>
    <row r="35" spans="2:41" ht="15" customHeight="1">
      <c r="C35" s="54" t="str">
        <f>IF(I45&lt;0,"NO volume for Ky"," ")</f>
        <v xml:space="preserve"> </v>
      </c>
      <c r="D35" s="53"/>
      <c r="E35" s="53"/>
      <c r="F35" s="5" t="s">
        <v>94</v>
      </c>
    </row>
    <row r="36" spans="2:41" ht="15" customHeight="1">
      <c r="C36" s="54" t="str">
        <f>IF(H51&lt;0,"NO volume for An"," ")</f>
        <v xml:space="preserve"> </v>
      </c>
      <c r="D36" s="53"/>
      <c r="E36" s="53"/>
      <c r="F36" s="5" t="s">
        <v>180</v>
      </c>
    </row>
    <row r="37" spans="2:41" ht="15" customHeight="1">
      <c r="B37" s="4"/>
      <c r="C37" s="54" t="str">
        <f>IF(H42&lt;0,"an&lt;0 (Pl has ab&gt;67, this won't work)"," ")</f>
        <v xml:space="preserve"> </v>
      </c>
      <c r="D37" s="53"/>
      <c r="E37" s="53"/>
      <c r="F37" s="5" t="s">
        <v>78</v>
      </c>
      <c r="AC37" s="5" t="s">
        <v>179</v>
      </c>
    </row>
    <row r="38" spans="2:41" ht="15" customHeight="1">
      <c r="Y38" s="27" t="s">
        <v>178</v>
      </c>
      <c r="Z38" s="41">
        <f>L21</f>
        <v>34.24511007676972</v>
      </c>
      <c r="AB38" s="4" t="s">
        <v>177</v>
      </c>
      <c r="AC38" s="41">
        <f>(1-M51)*Z38</f>
        <v>31.630398121323402</v>
      </c>
      <c r="AD38" s="4" t="s">
        <v>176</v>
      </c>
      <c r="AE38" s="41">
        <f>M51*Z38</f>
        <v>2.614711955446317</v>
      </c>
      <c r="AG38" s="23"/>
    </row>
    <row r="39" spans="2:41" ht="15" customHeight="1">
      <c r="B39" s="5" t="s">
        <v>29</v>
      </c>
      <c r="C39" s="40"/>
    </row>
    <row r="40" spans="2:41" ht="15" customHeight="1">
      <c r="B40" s="5" t="s">
        <v>96</v>
      </c>
      <c r="G40" s="5" t="s">
        <v>12</v>
      </c>
      <c r="P40" s="5" t="s">
        <v>87</v>
      </c>
      <c r="U40" s="5" t="s">
        <v>88</v>
      </c>
      <c r="Z40" s="5" t="s">
        <v>84</v>
      </c>
      <c r="AG40" s="5" t="s">
        <v>85</v>
      </c>
      <c r="AL40" s="5" t="s">
        <v>86</v>
      </c>
    </row>
    <row r="41" spans="2:41" ht="15" customHeight="1">
      <c r="B41" s="5" t="s">
        <v>13</v>
      </c>
      <c r="C41" s="5" t="s">
        <v>9</v>
      </c>
      <c r="D41" s="5" t="s">
        <v>36</v>
      </c>
      <c r="E41" s="5" t="s">
        <v>10</v>
      </c>
      <c r="F41" s="42" t="s">
        <v>60</v>
      </c>
      <c r="G41" s="42" t="s">
        <v>50</v>
      </c>
      <c r="H41" s="42" t="s">
        <v>53</v>
      </c>
      <c r="I41" s="42" t="s">
        <v>51</v>
      </c>
      <c r="J41" s="42" t="s">
        <v>52</v>
      </c>
      <c r="K41" s="5" t="s">
        <v>6</v>
      </c>
      <c r="L41" s="5" t="s">
        <v>5</v>
      </c>
      <c r="O41" s="4"/>
      <c r="P41" s="11" t="s">
        <v>43</v>
      </c>
      <c r="Q41" s="11" t="s">
        <v>44</v>
      </c>
      <c r="R41" s="11" t="s">
        <v>45</v>
      </c>
      <c r="S41" s="11" t="s">
        <v>46</v>
      </c>
      <c r="T41" s="11"/>
      <c r="U41" s="11" t="s">
        <v>43</v>
      </c>
      <c r="V41" s="11" t="s">
        <v>44</v>
      </c>
      <c r="W41" s="11" t="s">
        <v>45</v>
      </c>
      <c r="X41" s="11" t="s">
        <v>46</v>
      </c>
      <c r="Z41" s="11" t="s">
        <v>47</v>
      </c>
      <c r="AA41" s="11" t="s">
        <v>48</v>
      </c>
      <c r="AB41" s="11" t="s">
        <v>43</v>
      </c>
      <c r="AC41" s="11" t="s">
        <v>44</v>
      </c>
      <c r="AD41" s="11" t="s">
        <v>45</v>
      </c>
      <c r="AE41" s="11" t="s">
        <v>46</v>
      </c>
      <c r="AG41" s="11" t="s">
        <v>43</v>
      </c>
      <c r="AH41" s="11" t="s">
        <v>44</v>
      </c>
      <c r="AI41" s="11" t="s">
        <v>49</v>
      </c>
      <c r="AJ41" s="11" t="s">
        <v>46</v>
      </c>
      <c r="AL41" s="11" t="s">
        <v>48</v>
      </c>
      <c r="AM41" s="11" t="s">
        <v>43</v>
      </c>
      <c r="AN41" s="11" t="s">
        <v>45</v>
      </c>
      <c r="AO41" s="11" t="s">
        <v>46</v>
      </c>
    </row>
    <row r="42" spans="2:41" ht="15" customHeight="1">
      <c r="B42" s="5" t="s">
        <v>14</v>
      </c>
      <c r="C42" s="5">
        <v>0</v>
      </c>
      <c r="D42" s="5">
        <v>0</v>
      </c>
      <c r="E42" s="5">
        <v>0</v>
      </c>
      <c r="F42" s="5">
        <f>L22</f>
        <v>38.665761348660119</v>
      </c>
      <c r="G42" s="5">
        <f>L23</f>
        <v>0</v>
      </c>
      <c r="H42" s="5">
        <f>L26</f>
        <v>27.656874970573512</v>
      </c>
      <c r="I42" s="5">
        <f>L24</f>
        <v>0</v>
      </c>
      <c r="J42" s="5">
        <f>L25</f>
        <v>-5.7581508851823848</v>
      </c>
      <c r="K42" s="5">
        <f>L27</f>
        <v>0</v>
      </c>
      <c r="L42" s="5">
        <f>L28</f>
        <v>2.4944824974692024</v>
      </c>
      <c r="O42" s="4" t="s">
        <v>23</v>
      </c>
      <c r="P42" s="44">
        <f>L42*6/F42</f>
        <v>0.38708393324663865</v>
      </c>
      <c r="Q42" s="44">
        <f>2-P42-R42/2</f>
        <v>1.6129160667533613</v>
      </c>
      <c r="R42" s="44">
        <f>2*K42*6/F42</f>
        <v>0</v>
      </c>
      <c r="S42" s="44">
        <f>2-R42/2</f>
        <v>2</v>
      </c>
      <c r="T42" s="44"/>
      <c r="U42" s="44"/>
      <c r="V42" s="44"/>
      <c r="W42" s="44"/>
      <c r="X42" s="44"/>
      <c r="Y42" s="4" t="s">
        <v>23</v>
      </c>
      <c r="Z42" s="45">
        <v>0</v>
      </c>
      <c r="AA42" s="45">
        <v>0</v>
      </c>
      <c r="AB42" s="46">
        <f>P42</f>
        <v>0.38708393324663865</v>
      </c>
      <c r="AC42" s="46">
        <f>Q42</f>
        <v>1.6129160667533613</v>
      </c>
      <c r="AD42" s="46">
        <f>R42</f>
        <v>0</v>
      </c>
      <c r="AE42" s="46">
        <f>S42</f>
        <v>2</v>
      </c>
      <c r="AL42" s="45">
        <f>(2*Z38/3)/(Z38+H42)</f>
        <v>0.36881003681953795</v>
      </c>
      <c r="AM42" s="45">
        <f>(Z38/3+H42)/(Z38+H42)</f>
        <v>0.63118996318046194</v>
      </c>
      <c r="AN42" s="45">
        <f>(4*Z38/3+2*H42)/(Z38+H42)</f>
        <v>1.6311899631804618</v>
      </c>
      <c r="AO42" s="45">
        <f>(8*Z38/3+2*H42)/(Z38+H42)</f>
        <v>2.3688100368195375</v>
      </c>
    </row>
    <row r="43" spans="2:41" ht="15" customHeight="1">
      <c r="B43" s="5" t="s">
        <v>15</v>
      </c>
      <c r="C43" s="5">
        <f>-H42</f>
        <v>-27.656874970573512</v>
      </c>
      <c r="D43" s="47">
        <v>0</v>
      </c>
      <c r="E43" s="48">
        <v>0</v>
      </c>
      <c r="F43" s="5">
        <f>F42+0.75*H42</f>
        <v>59.408417576590253</v>
      </c>
      <c r="G43" s="5">
        <f>G42</f>
        <v>0</v>
      </c>
      <c r="H43" s="5">
        <f>0</f>
        <v>0</v>
      </c>
      <c r="I43" s="5">
        <f>I42</f>
        <v>0</v>
      </c>
      <c r="J43" s="5">
        <f>J42+0.25*H42</f>
        <v>1.1560678574609931</v>
      </c>
      <c r="K43" s="5">
        <f>K42+0.125*H42</f>
        <v>3.4571093713216889</v>
      </c>
      <c r="L43" s="5">
        <f>L42+0.125*H42</f>
        <v>5.9515918687908913</v>
      </c>
      <c r="O43" s="4" t="s">
        <v>15</v>
      </c>
      <c r="P43" s="44">
        <f>L43*6/F43</f>
        <v>0.60108571595444427</v>
      </c>
      <c r="Q43" s="44">
        <f>2-P43-R43/2</f>
        <v>1.0497607958014297</v>
      </c>
      <c r="R43" s="44">
        <f>2*K43*6/F43</f>
        <v>0.69830697648825202</v>
      </c>
      <c r="S43" s="44">
        <f>2-R43/2</f>
        <v>1.6508465117558739</v>
      </c>
      <c r="T43" s="44"/>
      <c r="U43" s="44"/>
      <c r="V43" s="44"/>
      <c r="W43" s="44"/>
      <c r="X43" s="44"/>
      <c r="Y43" s="4" t="s">
        <v>15</v>
      </c>
      <c r="Z43" s="45">
        <f>Z38/4/(F43+Z38)</f>
        <v>9.1414362424022164E-2</v>
      </c>
      <c r="AA43" s="45">
        <f>Z38/2/(Z38+F43)</f>
        <v>0.18282872484804433</v>
      </c>
      <c r="AB43" s="45">
        <f>(Z38/4+P43*F43)/(Z38+F43)</f>
        <v>0.47270860843381685</v>
      </c>
      <c r="AC43" s="45">
        <f>Q43*F43/(Z38+F43)</f>
        <v>0.66590794041774248</v>
      </c>
      <c r="AD43" s="45">
        <f>(Z38+R43*F43)/(Z38+F43)</f>
        <v>0.8086232780566599</v>
      </c>
      <c r="AE43" s="45">
        <f>(2*Z38+S43*F43)/(Z38+F43)</f>
        <v>1.7785170858197141</v>
      </c>
    </row>
    <row r="44" spans="2:41" ht="15" customHeight="1">
      <c r="B44" s="5" t="s">
        <v>16</v>
      </c>
      <c r="C44" s="5">
        <f>C43</f>
        <v>-27.656874970573512</v>
      </c>
      <c r="D44" s="47">
        <f>D43-F43</f>
        <v>-59.408417576590253</v>
      </c>
      <c r="E44" s="47">
        <f>E43</f>
        <v>0</v>
      </c>
      <c r="F44" s="5">
        <f>0</f>
        <v>0</v>
      </c>
      <c r="G44" s="5">
        <f>F43</f>
        <v>59.408417576590253</v>
      </c>
      <c r="H44" s="5">
        <f>H43</f>
        <v>0</v>
      </c>
      <c r="I44" s="5">
        <f>I43</f>
        <v>0</v>
      </c>
      <c r="J44" s="5">
        <f>J43</f>
        <v>1.1560678574609931</v>
      </c>
      <c r="K44" s="5">
        <f>K43-(1/12)*F43</f>
        <v>-1.4935920933941649</v>
      </c>
      <c r="L44" s="5">
        <f>L43</f>
        <v>5.9515918687908913</v>
      </c>
      <c r="O44" s="4" t="s">
        <v>16</v>
      </c>
      <c r="P44" s="44"/>
      <c r="Q44" s="44"/>
      <c r="R44" s="44"/>
      <c r="S44" s="44"/>
      <c r="T44" s="44"/>
      <c r="U44" s="44">
        <f>L44*12/G44</f>
        <v>1.2021714319088885</v>
      </c>
      <c r="V44" s="44">
        <f>X44-U44</f>
        <v>2.0995215916028593</v>
      </c>
      <c r="W44" s="44">
        <f>2+2*K44*12/G44</f>
        <v>1.3966139529765043</v>
      </c>
      <c r="X44" s="44">
        <f>3-K44*12/G44</f>
        <v>3.3016930235117479</v>
      </c>
      <c r="Y44" s="4" t="s">
        <v>16</v>
      </c>
      <c r="AG44" s="46">
        <f>U44</f>
        <v>1.2021714319088885</v>
      </c>
      <c r="AH44" s="46">
        <f>V44</f>
        <v>2.0995215916028593</v>
      </c>
      <c r="AI44" s="46">
        <f>W44</f>
        <v>1.3966139529765043</v>
      </c>
      <c r="AJ44" s="46">
        <f>X44</f>
        <v>3.3016930235117479</v>
      </c>
    </row>
    <row r="45" spans="2:41" ht="15" customHeight="1">
      <c r="B45" s="5" t="s">
        <v>17</v>
      </c>
      <c r="C45" s="5">
        <f>C44</f>
        <v>-27.656874970573512</v>
      </c>
      <c r="D45" s="47">
        <f>D44</f>
        <v>-59.408417576590253</v>
      </c>
      <c r="E45" s="47">
        <f>-2.5*J44</f>
        <v>-2.8901696436524826</v>
      </c>
      <c r="F45" s="5">
        <f>F44</f>
        <v>0</v>
      </c>
      <c r="G45" s="5">
        <f>G44-1.5*J44</f>
        <v>57.674315790398765</v>
      </c>
      <c r="H45" s="5">
        <f>H44</f>
        <v>0</v>
      </c>
      <c r="I45" s="5">
        <f>I44+2.5*J44</f>
        <v>2.8901696436524826</v>
      </c>
      <c r="J45" s="5">
        <f>0</f>
        <v>0</v>
      </c>
      <c r="K45" s="5">
        <f>K44-(3/20)*I45</f>
        <v>-1.9271175399420373</v>
      </c>
      <c r="L45" s="5">
        <f>L44</f>
        <v>5.9515918687908913</v>
      </c>
      <c r="O45" s="4" t="s">
        <v>17</v>
      </c>
      <c r="P45" s="44"/>
      <c r="Q45" s="44"/>
      <c r="R45" s="44"/>
      <c r="S45" s="44"/>
      <c r="U45" s="44">
        <f>L45*12/G45</f>
        <v>1.2383172898841752</v>
      </c>
      <c r="V45" s="44">
        <f>X45-U45</f>
        <v>2.1626482033753773</v>
      </c>
      <c r="W45" s="44">
        <f>2+2*K45*12/G45</f>
        <v>1.1980690134808947</v>
      </c>
      <c r="X45" s="44">
        <f>3-K45*12/G45</f>
        <v>3.4009654932595526</v>
      </c>
      <c r="Y45" s="4" t="s">
        <v>17</v>
      </c>
      <c r="AG45" s="46">
        <f>U45</f>
        <v>1.2383172898841752</v>
      </c>
      <c r="AH45" s="46">
        <f>V45</f>
        <v>2.1626482033753773</v>
      </c>
      <c r="AI45" s="46">
        <f>W45</f>
        <v>1.1980690134808947</v>
      </c>
      <c r="AJ45" s="46">
        <f>X45</f>
        <v>3.4009654932595526</v>
      </c>
    </row>
    <row r="46" spans="2:41" ht="15" customHeight="1">
      <c r="B46" s="5" t="s">
        <v>18</v>
      </c>
      <c r="C46" s="5">
        <f>C45</f>
        <v>-27.656874970573512</v>
      </c>
      <c r="D46" s="47">
        <f>G45+D45</f>
        <v>-1.7341017861914878</v>
      </c>
      <c r="E46" s="47">
        <f>E45</f>
        <v>-2.8901696436524826</v>
      </c>
      <c r="F46" s="5">
        <f>G45</f>
        <v>57.674315790398765</v>
      </c>
      <c r="G46" s="5">
        <f>F45</f>
        <v>0</v>
      </c>
      <c r="H46" s="5">
        <f>H45</f>
        <v>0</v>
      </c>
      <c r="I46" s="5">
        <f>I45</f>
        <v>2.8901696436524826</v>
      </c>
      <c r="J46" s="5">
        <f>J45</f>
        <v>0</v>
      </c>
      <c r="K46" s="5">
        <f>K45+(1/12)*F46</f>
        <v>2.8790754425911929</v>
      </c>
      <c r="L46" s="5">
        <f>L45</f>
        <v>5.9515918687908913</v>
      </c>
      <c r="O46" s="4" t="s">
        <v>18</v>
      </c>
      <c r="P46" s="44">
        <f>L46*6/F46</f>
        <v>0.61915864494208761</v>
      </c>
      <c r="Q46" s="44">
        <f>2-P46-R46/2</f>
        <v>1.0813241016876887</v>
      </c>
      <c r="R46" s="44">
        <f>2*K46*6/F46</f>
        <v>0.59903450674044734</v>
      </c>
      <c r="S46" s="44">
        <f>2-R46/2</f>
        <v>1.7004827466297763</v>
      </c>
      <c r="Y46" s="4" t="s">
        <v>18</v>
      </c>
      <c r="Z46" s="45">
        <f>Z38/4/(F46+Z38)</f>
        <v>9.313893595858852E-2</v>
      </c>
      <c r="AA46" s="45">
        <f>Z38/2/(Z38+F46)</f>
        <v>0.18627787191717704</v>
      </c>
      <c r="AB46" s="45">
        <f>(Z38/4+P46*F46)/(Z38+F46)</f>
        <v>0.48162647138280595</v>
      </c>
      <c r="AC46" s="45">
        <f>Q46*F46/(Z38+F46)</f>
        <v>0.67847059665741705</v>
      </c>
      <c r="AD46" s="45">
        <f>(Z38+R46*F46)/(Z38+F46)</f>
        <v>0.74841650433366869</v>
      </c>
      <c r="AE46" s="45">
        <f>(2*Z38+S46*F46)/(Z38+F46)</f>
        <v>1.8120696197503425</v>
      </c>
    </row>
    <row r="47" spans="2:41" ht="15" customHeight="1">
      <c r="B47" s="5" t="s">
        <v>19</v>
      </c>
      <c r="C47" s="5">
        <f>C43</f>
        <v>-27.656874970573512</v>
      </c>
      <c r="D47" s="47">
        <f>D43</f>
        <v>0</v>
      </c>
      <c r="E47" s="47">
        <f>E43</f>
        <v>0</v>
      </c>
      <c r="F47" s="5">
        <f>F43</f>
        <v>59.408417576590253</v>
      </c>
      <c r="G47" s="5">
        <f>G43</f>
        <v>0</v>
      </c>
      <c r="H47" s="5">
        <f>H43</f>
        <v>0</v>
      </c>
      <c r="I47" s="5">
        <f>I43</f>
        <v>0</v>
      </c>
      <c r="J47" s="5">
        <f>J43</f>
        <v>1.1560678574609931</v>
      </c>
      <c r="K47" s="5">
        <f>K43</f>
        <v>3.4571093713216889</v>
      </c>
      <c r="L47" s="5">
        <f>L43</f>
        <v>5.9515918687908913</v>
      </c>
      <c r="O47" s="4"/>
      <c r="P47" s="4"/>
      <c r="Q47" s="4"/>
      <c r="R47" s="4"/>
      <c r="S47" s="4"/>
      <c r="T47" s="4"/>
      <c r="Y47" s="4"/>
    </row>
    <row r="48" spans="2:41" ht="15" customHeight="1">
      <c r="O48" s="4"/>
      <c r="P48" s="4"/>
      <c r="Q48" s="4"/>
      <c r="R48" s="4"/>
      <c r="S48" s="4"/>
      <c r="T48" s="4"/>
      <c r="Y48" s="4"/>
    </row>
    <row r="49" spans="2:41" ht="15" customHeight="1">
      <c r="B49" s="5" t="s">
        <v>37</v>
      </c>
      <c r="O49" s="4"/>
      <c r="P49" s="4"/>
      <c r="Q49" s="4"/>
      <c r="R49" s="4"/>
      <c r="S49" s="4"/>
      <c r="T49" s="4"/>
      <c r="Y49" s="4"/>
    </row>
    <row r="50" spans="2:41" ht="15" customHeight="1">
      <c r="B50" s="5" t="s">
        <v>15</v>
      </c>
      <c r="C50" s="47">
        <f>C43</f>
        <v>-27.656874970573512</v>
      </c>
      <c r="D50" s="47">
        <f>D43</f>
        <v>0</v>
      </c>
      <c r="E50" s="5">
        <f>E43</f>
        <v>0</v>
      </c>
      <c r="F50" s="5">
        <f>F43</f>
        <v>59.408417576590253</v>
      </c>
      <c r="G50" s="5">
        <f>G43</f>
        <v>0</v>
      </c>
      <c r="H50" s="5">
        <f>H43</f>
        <v>0</v>
      </c>
      <c r="I50" s="5">
        <f>I43</f>
        <v>0</v>
      </c>
      <c r="J50" s="5">
        <f>J43</f>
        <v>1.1560678574609931</v>
      </c>
      <c r="K50" s="5">
        <f>K43</f>
        <v>3.4571093713216889</v>
      </c>
      <c r="L50" s="5">
        <f>L43</f>
        <v>5.9515918687908913</v>
      </c>
      <c r="M50" s="86" t="s">
        <v>175</v>
      </c>
      <c r="N50" s="85"/>
      <c r="O50" s="4"/>
      <c r="P50" s="4"/>
      <c r="Q50" s="4"/>
      <c r="R50" s="4"/>
      <c r="S50" s="4"/>
      <c r="T50" s="4"/>
      <c r="Y50" s="4"/>
    </row>
    <row r="51" spans="2:41" ht="15" customHeight="1">
      <c r="B51" s="5" t="s">
        <v>20</v>
      </c>
      <c r="C51" s="47">
        <f>4*J42</f>
        <v>-23.032603540729539</v>
      </c>
      <c r="D51" s="47">
        <f>D43</f>
        <v>0</v>
      </c>
      <c r="E51" s="5">
        <f>E43</f>
        <v>0</v>
      </c>
      <c r="F51" s="5">
        <f>F42-3*J42</f>
        <v>55.940214004207277</v>
      </c>
      <c r="G51" s="5">
        <f>G42</f>
        <v>0</v>
      </c>
      <c r="H51" s="5">
        <f>H42+4*J42</f>
        <v>4.6242714298439722</v>
      </c>
      <c r="I51" s="5">
        <f>I42</f>
        <v>0</v>
      </c>
      <c r="J51" s="5">
        <f>0</f>
        <v>0</v>
      </c>
      <c r="K51" s="5">
        <f>K42-0.125*(4*J42)</f>
        <v>2.8790754425911924</v>
      </c>
      <c r="L51" s="5">
        <f>L42-0.125*4*J42</f>
        <v>5.3735579400603948</v>
      </c>
      <c r="M51" s="84">
        <f>H51/(F51+H51)</f>
        <v>7.6352855913872947E-2</v>
      </c>
      <c r="O51" s="4" t="s">
        <v>20</v>
      </c>
      <c r="P51" s="44">
        <f>L51*6/F51</f>
        <v>0.57635366997232962</v>
      </c>
      <c r="Q51" s="44">
        <f>2-P51-R51/2</f>
        <v>1.1148442819295357</v>
      </c>
      <c r="R51" s="44">
        <f>2*K51*6/F51</f>
        <v>0.6176040961962691</v>
      </c>
      <c r="S51" s="44">
        <f>2-R51/2</f>
        <v>1.6911979519018654</v>
      </c>
      <c r="Y51" s="4" t="s">
        <v>20</v>
      </c>
      <c r="Z51" s="45">
        <f>AC38/4/(F51+AC38)</f>
        <v>9.0299694593837798E-2</v>
      </c>
      <c r="AA51" s="45">
        <f>AC38/2/(AC38+F51)</f>
        <v>0.1805993891876756</v>
      </c>
      <c r="AB51" s="45">
        <f>(AC38/4+P51*F51)/(AC38+F51)</f>
        <v>0.45847512306001154</v>
      </c>
      <c r="AC51" s="45">
        <f>Q51*F51/(AC38+F51)</f>
        <v>0.71216388921784168</v>
      </c>
      <c r="AD51" s="45">
        <f>(AC38+R51*F51)/(AC38+F51)</f>
        <v>0.75572502950591491</v>
      </c>
      <c r="AE51" s="45">
        <f>(2*AC38+S51*F51)/(AC38+F51)</f>
        <v>1.8027368744347179</v>
      </c>
      <c r="AL51" s="45">
        <f>(2*AE38/3)/(AE38+H51)</f>
        <v>0.24079918558356747</v>
      </c>
      <c r="AM51" s="45">
        <f>(AE38/3+H51)/(AE38+H51)</f>
        <v>0.7592008144164325</v>
      </c>
      <c r="AN51" s="45">
        <f>(4*AE38/3+2*H51)/(AE38+H51)</f>
        <v>1.7592008144164324</v>
      </c>
      <c r="AO51" s="45">
        <f>(8*AE38/3+2*H51)/(AE38+H51)</f>
        <v>2.2407991855835676</v>
      </c>
    </row>
    <row r="52" spans="2:41" ht="15" customHeight="1">
      <c r="B52" s="5" t="s">
        <v>21</v>
      </c>
      <c r="C52" s="47">
        <f>C51</f>
        <v>-23.032603540729539</v>
      </c>
      <c r="D52" s="47">
        <f>G51-F51</f>
        <v>-55.940214004207277</v>
      </c>
      <c r="E52" s="5">
        <f>E51</f>
        <v>0</v>
      </c>
      <c r="F52" s="5">
        <f>G51</f>
        <v>0</v>
      </c>
      <c r="G52" s="5">
        <f>F51</f>
        <v>55.940214004207277</v>
      </c>
      <c r="H52" s="5">
        <f>H51</f>
        <v>4.6242714298439722</v>
      </c>
      <c r="I52" s="5">
        <f>I51</f>
        <v>0</v>
      </c>
      <c r="J52" s="5">
        <f>J51</f>
        <v>0</v>
      </c>
      <c r="K52" s="5">
        <f>K51-(1/12)*F51</f>
        <v>-1.782609057759414</v>
      </c>
      <c r="L52" s="5">
        <f>L51</f>
        <v>5.3735579400603948</v>
      </c>
      <c r="O52" s="4" t="s">
        <v>21</v>
      </c>
      <c r="U52" s="23">
        <f>L52*12/G52</f>
        <v>1.1527073399446592</v>
      </c>
      <c r="V52" s="23">
        <f>X52-U52</f>
        <v>2.2296885638590718</v>
      </c>
      <c r="W52" s="23">
        <f>2+2*K52*12/G52</f>
        <v>1.235208192392538</v>
      </c>
      <c r="X52" s="23">
        <f>3-K52*12/G52</f>
        <v>3.3823959038037308</v>
      </c>
      <c r="Y52" s="4" t="s">
        <v>21</v>
      </c>
      <c r="AG52" s="46">
        <f>U52</f>
        <v>1.1527073399446592</v>
      </c>
      <c r="AH52" s="46">
        <f>V52</f>
        <v>2.2296885638590718</v>
      </c>
      <c r="AI52" s="46">
        <f>W52</f>
        <v>1.235208192392538</v>
      </c>
      <c r="AJ52" s="46">
        <f>X52</f>
        <v>3.3823959038037308</v>
      </c>
      <c r="AL52" s="45">
        <f>(2*Z38/3)/(Z38+H52)</f>
        <v>0.58735365729008493</v>
      </c>
      <c r="AM52" s="45">
        <f>(Z38/3+H52)/(Z38+H52)</f>
        <v>0.4126463427099149</v>
      </c>
      <c r="AN52" s="45">
        <f>(4*Z38/3+2*H52)/(Z38+H52)</f>
        <v>1.412646342709915</v>
      </c>
      <c r="AO52" s="45">
        <f>(8*Z38/3+2*H52)/(Z38+H52)</f>
        <v>2.5873536572900848</v>
      </c>
    </row>
    <row r="53" spans="2:41" ht="15" customHeight="1">
      <c r="B53" s="5" t="s">
        <v>16</v>
      </c>
      <c r="C53" s="47">
        <f>C44</f>
        <v>-27.656874970573512</v>
      </c>
      <c r="D53" s="47">
        <f>D44</f>
        <v>-59.408417576590253</v>
      </c>
      <c r="E53" s="5">
        <f>E44</f>
        <v>0</v>
      </c>
      <c r="F53" s="5">
        <f>F44</f>
        <v>0</v>
      </c>
      <c r="G53" s="5">
        <f>G44</f>
        <v>59.408417576590253</v>
      </c>
      <c r="H53" s="5">
        <f>H44</f>
        <v>0</v>
      </c>
      <c r="I53" s="5">
        <f>I44</f>
        <v>0</v>
      </c>
      <c r="J53" s="5">
        <f>J44</f>
        <v>1.1560678574609931</v>
      </c>
      <c r="K53" s="5">
        <f>K44</f>
        <v>-1.4935920933941649</v>
      </c>
      <c r="L53" s="5">
        <f>L44</f>
        <v>5.9515918687908913</v>
      </c>
      <c r="O53" s="4"/>
      <c r="Y53" s="4"/>
    </row>
    <row r="54" spans="2:41" ht="15" customHeight="1">
      <c r="B54" s="5" t="s">
        <v>19</v>
      </c>
      <c r="C54" s="47">
        <f>C50</f>
        <v>-27.656874970573512</v>
      </c>
      <c r="D54" s="47">
        <f>D50</f>
        <v>0</v>
      </c>
      <c r="E54" s="5">
        <f>E50</f>
        <v>0</v>
      </c>
      <c r="F54" s="5">
        <f>F50</f>
        <v>59.408417576590253</v>
      </c>
      <c r="G54" s="5">
        <f>G50</f>
        <v>0</v>
      </c>
      <c r="H54" s="5">
        <f>H50</f>
        <v>0</v>
      </c>
      <c r="I54" s="5">
        <f>I50</f>
        <v>0</v>
      </c>
      <c r="J54" s="5">
        <f>J50</f>
        <v>1.1560678574609931</v>
      </c>
      <c r="K54" s="5">
        <f>K50</f>
        <v>3.4571093713216889</v>
      </c>
      <c r="L54" s="5">
        <f>L50</f>
        <v>5.9515918687908913</v>
      </c>
      <c r="O54" s="4"/>
      <c r="Y54" s="4"/>
    </row>
    <row r="55" spans="2:41" ht="15" customHeight="1">
      <c r="O55" s="4"/>
      <c r="Y55" s="4"/>
    </row>
    <row r="56" spans="2:41" ht="15" customHeight="1">
      <c r="B56" s="5" t="s">
        <v>22</v>
      </c>
      <c r="O56" s="4"/>
      <c r="Y56" s="4"/>
    </row>
    <row r="57" spans="2:41" ht="15" customHeight="1">
      <c r="B57" s="5" t="s">
        <v>23</v>
      </c>
      <c r="C57" s="47">
        <f>C42</f>
        <v>0</v>
      </c>
      <c r="D57" s="47">
        <f>D42</f>
        <v>0</v>
      </c>
      <c r="E57" s="5">
        <f>E42</f>
        <v>0</v>
      </c>
      <c r="F57" s="5">
        <f>F42</f>
        <v>38.665761348660119</v>
      </c>
      <c r="G57" s="5">
        <f>G42</f>
        <v>0</v>
      </c>
      <c r="H57" s="5">
        <f>H42</f>
        <v>27.656874970573512</v>
      </c>
      <c r="I57" s="5">
        <f>I42</f>
        <v>0</v>
      </c>
      <c r="J57" s="5">
        <f>J42</f>
        <v>-5.7581508851823848</v>
      </c>
      <c r="K57" s="5">
        <f>K42</f>
        <v>0</v>
      </c>
      <c r="L57" s="5">
        <f>L42</f>
        <v>2.4944824974692024</v>
      </c>
      <c r="O57" s="4"/>
      <c r="Y57" s="4"/>
    </row>
    <row r="58" spans="2:41" ht="15" customHeight="1">
      <c r="B58" s="5" t="s">
        <v>79</v>
      </c>
      <c r="C58" s="47">
        <f>C43</f>
        <v>-27.656874970573512</v>
      </c>
      <c r="D58" s="49">
        <f>-12*K50</f>
        <v>-41.485312455860267</v>
      </c>
      <c r="E58" s="47">
        <f>E43</f>
        <v>0</v>
      </c>
      <c r="F58" s="45">
        <f>F43-G58</f>
        <v>17.923105120729986</v>
      </c>
      <c r="G58" s="45">
        <f>12*K50</f>
        <v>41.485312455860267</v>
      </c>
      <c r="H58" s="45">
        <f>H43</f>
        <v>0</v>
      </c>
      <c r="I58" s="45">
        <f>I43</f>
        <v>0</v>
      </c>
      <c r="J58" s="45">
        <f>J43</f>
        <v>1.1560678574609931</v>
      </c>
      <c r="K58" s="45">
        <v>0</v>
      </c>
      <c r="L58" s="45">
        <f>L43</f>
        <v>5.9515918687908913</v>
      </c>
      <c r="M58" s="45"/>
      <c r="N58" s="45"/>
      <c r="O58" s="4" t="s">
        <v>79</v>
      </c>
      <c r="P58" s="23">
        <f>F58/(F58+G58)*L58*6/F58</f>
        <v>0.60108571595444438</v>
      </c>
      <c r="Q58" s="23">
        <f>2-P58-R58/2</f>
        <v>1.3989142840455555</v>
      </c>
      <c r="R58" s="23">
        <f>2*K58*6/F58</f>
        <v>0</v>
      </c>
      <c r="S58" s="23">
        <f>2-R58/2</f>
        <v>2</v>
      </c>
      <c r="T58" s="23"/>
      <c r="U58" s="23">
        <f>G58/(F58+G58)*L58*12/G58</f>
        <v>1.202171431908889</v>
      </c>
      <c r="V58" s="23">
        <f>X58-U58</f>
        <v>1.797828568091111</v>
      </c>
      <c r="W58" s="23">
        <f>2+2*K58*12/G58</f>
        <v>2</v>
      </c>
      <c r="X58" s="23">
        <f>3-K58*12/G58</f>
        <v>3</v>
      </c>
      <c r="Y58" s="4" t="s">
        <v>79</v>
      </c>
      <c r="Z58" s="45">
        <f>Z38/4/(F58+Z38)</f>
        <v>0.16410907459227686</v>
      </c>
      <c r="AA58" s="45">
        <f>Z38/2/(Z38+F58)</f>
        <v>0.32821814918455372</v>
      </c>
      <c r="AB58" s="45">
        <f>(Z38/4+P58*F58)/(Z38+F58)</f>
        <v>0.37062030816304103</v>
      </c>
      <c r="AC58" s="45">
        <f>Q58*F58/(Z38+F58)</f>
        <v>0.48061616969102094</v>
      </c>
      <c r="AD58" s="45">
        <f>(Z38+R58*F58)/(Z38+F58)</f>
        <v>0.65643629836910744</v>
      </c>
      <c r="AE58" s="45">
        <f>(2*Z38+S58*F58)/(Z38+F58)</f>
        <v>2</v>
      </c>
      <c r="AG58" s="46">
        <f>U58</f>
        <v>1.202171431908889</v>
      </c>
      <c r="AH58" s="46">
        <f>V58</f>
        <v>1.797828568091111</v>
      </c>
      <c r="AI58" s="46">
        <f>W58</f>
        <v>2</v>
      </c>
      <c r="AJ58" s="46">
        <f>X58</f>
        <v>3</v>
      </c>
    </row>
    <row r="59" spans="2:41" ht="15" customHeight="1">
      <c r="B59" s="5" t="s">
        <v>80</v>
      </c>
      <c r="C59" s="5">
        <f>C58</f>
        <v>-27.656874970573512</v>
      </c>
      <c r="D59" s="47">
        <f>D46-(-K46/(-K46+K47))*D46</f>
        <v>-10.371328113965065</v>
      </c>
      <c r="E59" s="47">
        <f>E46-(-K46/(-K46+K47))*E46</f>
        <v>-17.285546856608459</v>
      </c>
      <c r="F59" s="45">
        <f>G68</f>
        <v>49.037089462625197</v>
      </c>
      <c r="G59" s="45">
        <f>G47</f>
        <v>0</v>
      </c>
      <c r="H59" s="45">
        <v>0</v>
      </c>
      <c r="I59" s="45">
        <f>I68</f>
        <v>17.285546856608445</v>
      </c>
      <c r="J59" s="45">
        <f>J68</f>
        <v>-5.7581508851823848</v>
      </c>
      <c r="K59" s="45">
        <v>0</v>
      </c>
      <c r="L59" s="45">
        <f>L47</f>
        <v>5.9515918687908913</v>
      </c>
      <c r="M59" s="45"/>
      <c r="N59" s="45"/>
      <c r="O59" s="4" t="s">
        <v>80</v>
      </c>
      <c r="P59" s="23">
        <f>L59*6/F59</f>
        <v>0.7282151449865768</v>
      </c>
      <c r="Q59" s="23">
        <f>2-P59-R59/2</f>
        <v>1.2717848550134232</v>
      </c>
      <c r="R59" s="23">
        <f>2*K59*6/F59</f>
        <v>0</v>
      </c>
      <c r="S59" s="23">
        <f>2-R59/2</f>
        <v>2</v>
      </c>
      <c r="T59" s="23"/>
      <c r="U59" s="23"/>
      <c r="V59" s="23"/>
      <c r="W59" s="23"/>
      <c r="X59" s="23"/>
      <c r="Y59" s="4" t="s">
        <v>80</v>
      </c>
      <c r="Z59" s="45">
        <f>Z38/4/(F59+Z38)</f>
        <v>0.1027984079015912</v>
      </c>
      <c r="AA59" s="45">
        <f>Z38/2/(Z38+F59)</f>
        <v>0.2055968158031824</v>
      </c>
      <c r="AB59" s="45">
        <f>(Z38/4+P59*F59)/(Z38+F59)</f>
        <v>0.53157612283038191</v>
      </c>
      <c r="AC59" s="45">
        <f>Q59*F59/(Z38+F59)</f>
        <v>0.7488350218584795</v>
      </c>
      <c r="AD59" s="45">
        <f>(Z38+R59*F59)/(Z38+F59)</f>
        <v>0.4111936316063648</v>
      </c>
      <c r="AE59" s="45">
        <f>(2*Z38+S59*F59)/(Z38+F59)</f>
        <v>2</v>
      </c>
    </row>
    <row r="60" spans="2:41" ht="15" customHeight="1">
      <c r="B60" s="5" t="s">
        <v>23</v>
      </c>
      <c r="C60" s="5">
        <f>C57</f>
        <v>0</v>
      </c>
      <c r="D60" s="5">
        <f>D57</f>
        <v>0</v>
      </c>
      <c r="E60" s="5">
        <f>E57</f>
        <v>0</v>
      </c>
      <c r="F60" s="5">
        <f>F57</f>
        <v>38.665761348660119</v>
      </c>
      <c r="G60" s="5">
        <f>G57</f>
        <v>0</v>
      </c>
      <c r="H60" s="5">
        <f>H57</f>
        <v>27.656874970573512</v>
      </c>
      <c r="I60" s="5">
        <f>I57</f>
        <v>0</v>
      </c>
      <c r="J60" s="5">
        <f>J57</f>
        <v>-5.7581508851823848</v>
      </c>
      <c r="K60" s="5">
        <f>K57</f>
        <v>0</v>
      </c>
      <c r="L60" s="5">
        <f>L57</f>
        <v>2.4944824974692024</v>
      </c>
      <c r="O60" s="4"/>
      <c r="Y60" s="4"/>
    </row>
    <row r="61" spans="2:41" ht="15" customHeight="1">
      <c r="O61" s="4"/>
      <c r="Y61" s="4"/>
    </row>
    <row r="62" spans="2:41" ht="15" customHeight="1">
      <c r="B62" s="5" t="s">
        <v>38</v>
      </c>
      <c r="O62" s="4"/>
      <c r="Y62" s="4"/>
    </row>
    <row r="63" spans="2:41" ht="15" customHeight="1">
      <c r="B63" s="5" t="s">
        <v>35</v>
      </c>
      <c r="C63" s="47">
        <f>C42</f>
        <v>0</v>
      </c>
      <c r="D63" s="47">
        <f>D42</f>
        <v>0</v>
      </c>
      <c r="E63" s="5">
        <f>E42</f>
        <v>0</v>
      </c>
      <c r="F63" s="5">
        <f>F42</f>
        <v>38.665761348660119</v>
      </c>
      <c r="G63" s="5">
        <f>G42</f>
        <v>0</v>
      </c>
      <c r="H63" s="5">
        <f>H42</f>
        <v>27.656874970573512</v>
      </c>
      <c r="I63" s="5">
        <f>I42</f>
        <v>0</v>
      </c>
      <c r="J63" s="5">
        <f>J42</f>
        <v>-5.7581508851823848</v>
      </c>
      <c r="K63" s="5">
        <f>K42</f>
        <v>0</v>
      </c>
      <c r="L63" s="5">
        <f>L42</f>
        <v>2.4944824974692024</v>
      </c>
      <c r="O63" s="4"/>
      <c r="Y63" s="4"/>
    </row>
    <row r="64" spans="2:41" ht="15" customHeight="1">
      <c r="B64" s="5" t="s">
        <v>81</v>
      </c>
      <c r="C64" s="47">
        <f>C63</f>
        <v>0</v>
      </c>
      <c r="D64" s="47">
        <f>D63-F63</f>
        <v>-38.665761348660119</v>
      </c>
      <c r="E64" s="5">
        <v>0</v>
      </c>
      <c r="F64" s="5">
        <f>0</f>
        <v>0</v>
      </c>
      <c r="G64" s="5">
        <f>G53+(H42/H52)*(G52-G53)</f>
        <v>38.665761348660141</v>
      </c>
      <c r="H64" s="5">
        <f>H42</f>
        <v>27.656874970573512</v>
      </c>
      <c r="I64" s="5">
        <f>I42</f>
        <v>0</v>
      </c>
      <c r="J64" s="5">
        <f>J42</f>
        <v>-5.7581508851823848</v>
      </c>
      <c r="K64" s="5">
        <f>K53+(H42/H52)*(K52-K53)</f>
        <v>-3.2221467790550147</v>
      </c>
      <c r="L64" s="5">
        <f>L42</f>
        <v>2.4944824974692024</v>
      </c>
      <c r="O64" s="4" t="s">
        <v>81</v>
      </c>
      <c r="U64" s="44">
        <f>L64*12/G64</f>
        <v>0.77416786649327685</v>
      </c>
      <c r="V64" s="44">
        <f>X64-U64</f>
        <v>3.2258321335067239</v>
      </c>
      <c r="W64" s="44">
        <f>2+2*K64*12/G64</f>
        <v>0</v>
      </c>
      <c r="X64" s="44">
        <f>3-K64*12/G64</f>
        <v>4.0000000000000009</v>
      </c>
      <c r="Y64" s="4" t="s">
        <v>81</v>
      </c>
      <c r="AG64" s="23">
        <f>U64</f>
        <v>0.77416786649327685</v>
      </c>
      <c r="AH64" s="23">
        <f>V64</f>
        <v>3.2258321335067239</v>
      </c>
      <c r="AI64" s="23">
        <f>W64</f>
        <v>0</v>
      </c>
      <c r="AJ64" s="23">
        <f>X64</f>
        <v>4.0000000000000009</v>
      </c>
      <c r="AL64" s="5">
        <f>(2*Z38/3)/(Z38+H64)</f>
        <v>0.36881003681953795</v>
      </c>
      <c r="AM64" s="5">
        <f>(Z38/3+H64)/(Z38+H64)</f>
        <v>0.63118996318046194</v>
      </c>
      <c r="AN64" s="5">
        <f>(4*Z38/3+2*H64)/(Z38+H64)</f>
        <v>1.6311899631804618</v>
      </c>
      <c r="AO64" s="5">
        <f>(8*Z38/3+2*H64)/(Z38+H64)</f>
        <v>2.3688100368195375</v>
      </c>
    </row>
    <row r="65" spans="2:36" ht="15" customHeight="1">
      <c r="O65" s="4"/>
      <c r="U65" s="44"/>
      <c r="V65" s="44"/>
      <c r="W65" s="44"/>
      <c r="X65" s="44"/>
      <c r="Y65" s="4"/>
    </row>
    <row r="66" spans="2:36" ht="15" customHeight="1">
      <c r="B66" s="5" t="s">
        <v>39</v>
      </c>
      <c r="O66" s="4"/>
      <c r="U66" s="44"/>
      <c r="V66" s="44"/>
      <c r="W66" s="44"/>
      <c r="X66" s="44"/>
      <c r="Y66" s="4"/>
    </row>
    <row r="67" spans="2:36" ht="15" customHeight="1">
      <c r="B67" s="5" t="s">
        <v>82</v>
      </c>
      <c r="C67" s="5">
        <f>C59</f>
        <v>-27.656874970573512</v>
      </c>
      <c r="D67" s="47">
        <f>D59</f>
        <v>-10.371328113965065</v>
      </c>
      <c r="E67" s="47">
        <f>E59</f>
        <v>-17.285546856608459</v>
      </c>
      <c r="O67" s="4"/>
      <c r="U67" s="44"/>
      <c r="V67" s="44"/>
      <c r="W67" s="44"/>
      <c r="X67" s="44"/>
      <c r="Y67" s="4"/>
    </row>
    <row r="68" spans="2:36" ht="15" customHeight="1">
      <c r="B68" s="5" t="s">
        <v>83</v>
      </c>
      <c r="C68" s="5">
        <f>C67</f>
        <v>-27.656874970573512</v>
      </c>
      <c r="D68" s="47">
        <f>D67-G68</f>
        <v>-59.40841757659026</v>
      </c>
      <c r="E68" s="47">
        <f>-I68</f>
        <v>-17.285546856608445</v>
      </c>
      <c r="F68" s="5">
        <v>0</v>
      </c>
      <c r="G68" s="5">
        <f>G44+(H42/H51)*(G45-G44)</f>
        <v>49.037089462625197</v>
      </c>
      <c r="H68" s="5">
        <f>0</f>
        <v>0</v>
      </c>
      <c r="I68" s="5">
        <f>I44+(H42/H51)*(I45-I43)</f>
        <v>17.285546856608445</v>
      </c>
      <c r="J68" s="5">
        <f>J44+(H42/H51)*(J45-J44)</f>
        <v>-5.7581508851823848</v>
      </c>
      <c r="K68" s="5">
        <f>K44+(H42/H51)*(K45-K44)</f>
        <v>-4.0864241218854316</v>
      </c>
      <c r="L68" s="5">
        <f>L45</f>
        <v>5.9515918687908913</v>
      </c>
      <c r="O68" s="4" t="s">
        <v>83</v>
      </c>
      <c r="U68" s="44">
        <f>L68*12/G68</f>
        <v>1.4564302899731536</v>
      </c>
      <c r="V68" s="44">
        <f>X68-U68</f>
        <v>2.543569710026846</v>
      </c>
      <c r="W68" s="44">
        <f>2+2*K68*12/G68</f>
        <v>0</v>
      </c>
      <c r="X68" s="44">
        <f>3-K68*12/G68</f>
        <v>3.9999999999999996</v>
      </c>
      <c r="Y68" s="4" t="s">
        <v>83</v>
      </c>
      <c r="AG68" s="23">
        <f>U68</f>
        <v>1.4564302899731536</v>
      </c>
      <c r="AH68" s="23">
        <f>V68</f>
        <v>2.543569710026846</v>
      </c>
      <c r="AI68" s="23">
        <f>W68</f>
        <v>0</v>
      </c>
      <c r="AJ68" s="23">
        <f>X68</f>
        <v>3.9999999999999996</v>
      </c>
    </row>
    <row r="69" spans="2:36" ht="15" customHeight="1">
      <c r="O69" s="4"/>
    </row>
    <row r="98" spans="2:4" ht="15" customHeight="1">
      <c r="B98" s="5" t="s">
        <v>0</v>
      </c>
    </row>
    <row r="99" spans="2:4" ht="15" customHeight="1">
      <c r="C99" s="5" t="s">
        <v>89</v>
      </c>
    </row>
    <row r="100" spans="2:4" ht="15" customHeight="1">
      <c r="D100" s="5" t="s">
        <v>73</v>
      </c>
    </row>
    <row r="101" spans="2:4" ht="15" customHeight="1">
      <c r="D101" s="5" t="s">
        <v>174</v>
      </c>
    </row>
    <row r="103" spans="2:4" ht="15" customHeight="1">
      <c r="D103" s="5" t="s">
        <v>173</v>
      </c>
    </row>
    <row r="104" spans="2:4" ht="15" customHeight="1">
      <c r="D104" s="5" t="s">
        <v>172</v>
      </c>
    </row>
  </sheetData>
  <pageMargins left="0.75" right="0.75" top="1" bottom="1" header="0.5" footer="0.5"/>
  <pageSetup scale="56" orientation="portrait" horizontalDpi="4294967292" verticalDpi="4294967292"/>
  <rowBreaks count="1" manualBreakCount="1">
    <brk id="68" min="1" max="12" man="1" pt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B3E4-E48D-4DBF-8916-8A278C134BCB}">
  <dimension ref="A1:O75"/>
  <sheetViews>
    <sheetView tabSelected="1" topLeftCell="B1" workbookViewId="0">
      <selection activeCell="J62" sqref="J62"/>
    </sheetView>
  </sheetViews>
  <sheetFormatPr defaultColWidth="10.1328125" defaultRowHeight="17" customHeight="1"/>
  <cols>
    <col min="1" max="1" width="10.1328125" style="56"/>
    <col min="2" max="3" width="10.265625" style="56" bestFit="1" customWidth="1"/>
    <col min="4" max="5" width="11.06640625" style="56" bestFit="1" customWidth="1"/>
    <col min="6" max="12" width="10.265625" style="56" bestFit="1" customWidth="1"/>
    <col min="13" max="13" width="10.1328125" style="56"/>
    <col min="14" max="14" width="10.265625" style="56" bestFit="1" customWidth="1"/>
    <col min="15" max="16384" width="10.1328125" style="56"/>
  </cols>
  <sheetData>
    <row r="1" spans="1:14" ht="17" customHeight="1">
      <c r="A1" s="56" t="s">
        <v>171</v>
      </c>
    </row>
    <row r="2" spans="1:14" ht="17" customHeight="1">
      <c r="B2" s="83" t="s">
        <v>170</v>
      </c>
    </row>
    <row r="3" spans="1:14" ht="17" customHeight="1">
      <c r="E3" s="67" t="s">
        <v>169</v>
      </c>
      <c r="K3" s="75" t="s">
        <v>168</v>
      </c>
      <c r="N3" s="56" t="s">
        <v>167</v>
      </c>
    </row>
    <row r="4" spans="1:14" ht="17" customHeight="1">
      <c r="B4" s="81" t="s">
        <v>166</v>
      </c>
      <c r="C4" s="81" t="s">
        <v>164</v>
      </c>
      <c r="D4" s="81" t="s">
        <v>162</v>
      </c>
      <c r="E4" s="81" t="s">
        <v>160</v>
      </c>
      <c r="F4" s="81" t="s">
        <v>159</v>
      </c>
      <c r="G4" s="81" t="s">
        <v>158</v>
      </c>
      <c r="H4" s="81" t="s">
        <v>157</v>
      </c>
    </row>
    <row r="5" spans="1:14" ht="17" customHeight="1">
      <c r="A5" s="59" t="s">
        <v>46</v>
      </c>
      <c r="B5" s="80">
        <v>0.31520290571680726</v>
      </c>
      <c r="C5" s="80">
        <v>0.34375</v>
      </c>
      <c r="D5" s="79">
        <v>0.25</v>
      </c>
      <c r="E5" s="79">
        <v>0.22957183445617993</v>
      </c>
      <c r="F5" s="79">
        <v>0.27460811008445968</v>
      </c>
      <c r="G5" s="79">
        <v>0.5</v>
      </c>
      <c r="H5" s="79">
        <v>0.2</v>
      </c>
      <c r="J5" s="81" t="s">
        <v>166</v>
      </c>
      <c r="K5" s="79">
        <f>N6*N7/100</f>
        <v>23.94</v>
      </c>
      <c r="M5" s="56" t="s">
        <v>165</v>
      </c>
      <c r="N5" s="79">
        <v>58</v>
      </c>
    </row>
    <row r="6" spans="1:14" ht="17" customHeight="1">
      <c r="A6" s="59" t="s">
        <v>152</v>
      </c>
      <c r="B6" s="80">
        <v>1.0966280126956185E-3</v>
      </c>
      <c r="C6" s="80">
        <v>0</v>
      </c>
      <c r="D6" s="79">
        <v>0</v>
      </c>
      <c r="E6" s="79">
        <v>1.1211073370491055E-3</v>
      </c>
      <c r="F6" s="79">
        <v>3.3959852420278117E-3</v>
      </c>
      <c r="G6" s="79">
        <v>0</v>
      </c>
      <c r="H6" s="79">
        <v>0</v>
      </c>
      <c r="J6" s="81" t="s">
        <v>164</v>
      </c>
      <c r="K6" s="79">
        <f>N5*N7/100</f>
        <v>33.06</v>
      </c>
      <c r="M6" s="59" t="s">
        <v>163</v>
      </c>
      <c r="N6" s="56">
        <f>100-N5</f>
        <v>42</v>
      </c>
    </row>
    <row r="7" spans="1:14" ht="17" customHeight="1">
      <c r="A7" s="59" t="s">
        <v>45</v>
      </c>
      <c r="B7" s="80">
        <v>2.2689017227873861E-2</v>
      </c>
      <c r="C7" s="80">
        <v>0.15625</v>
      </c>
      <c r="D7" s="79">
        <v>0.16666666666666666</v>
      </c>
      <c r="E7" s="79">
        <v>0.17328874090729274</v>
      </c>
      <c r="F7" s="79">
        <v>8.4724226297482663E-2</v>
      </c>
      <c r="G7" s="79">
        <v>0</v>
      </c>
      <c r="H7" s="79">
        <v>0.4</v>
      </c>
      <c r="J7" s="81" t="s">
        <v>162</v>
      </c>
      <c r="K7" s="79">
        <v>27</v>
      </c>
      <c r="M7" s="59" t="s">
        <v>161</v>
      </c>
      <c r="N7" s="79">
        <v>57</v>
      </c>
    </row>
    <row r="8" spans="1:14" ht="17" customHeight="1">
      <c r="A8" s="59" t="s">
        <v>138</v>
      </c>
      <c r="B8" s="80">
        <v>2.6417602753044871E-2</v>
      </c>
      <c r="C8" s="80">
        <v>0</v>
      </c>
      <c r="D8" s="79">
        <v>0</v>
      </c>
      <c r="E8" s="82">
        <v>4.5384615384615384E-2</v>
      </c>
      <c r="F8" s="79">
        <v>2.4191257966936774E-3</v>
      </c>
      <c r="G8" s="79">
        <v>0</v>
      </c>
      <c r="H8" s="79">
        <v>0</v>
      </c>
      <c r="J8" s="81" t="s">
        <v>160</v>
      </c>
      <c r="K8" s="79">
        <v>4</v>
      </c>
    </row>
    <row r="9" spans="1:14" ht="17" customHeight="1">
      <c r="A9" s="59" t="s">
        <v>150</v>
      </c>
      <c r="B9" s="80">
        <v>1.2106476698962124E-2</v>
      </c>
      <c r="C9" s="80">
        <v>0</v>
      </c>
      <c r="D9" s="79">
        <v>0.13250000000000001</v>
      </c>
      <c r="E9" s="82">
        <v>0</v>
      </c>
      <c r="F9" s="79">
        <v>7.3803901129939661E-2</v>
      </c>
      <c r="G9" s="79">
        <v>0</v>
      </c>
      <c r="H9" s="79">
        <v>0</v>
      </c>
      <c r="J9" s="81" t="s">
        <v>159</v>
      </c>
      <c r="K9" s="79">
        <v>2</v>
      </c>
    </row>
    <row r="10" spans="1:14" ht="17" customHeight="1">
      <c r="A10" s="59" t="s">
        <v>149</v>
      </c>
      <c r="B10" s="80">
        <v>2.5958483732254093E-4</v>
      </c>
      <c r="C10" s="80">
        <v>0</v>
      </c>
      <c r="D10" s="79">
        <v>1.6000000000000001E-3</v>
      </c>
      <c r="E10" s="79">
        <v>2.8041760684846404E-4</v>
      </c>
      <c r="F10" s="79">
        <v>2.7302673346871496E-4</v>
      </c>
      <c r="G10" s="79">
        <v>0</v>
      </c>
      <c r="H10" s="79">
        <v>0</v>
      </c>
      <c r="J10" s="81" t="s">
        <v>158</v>
      </c>
      <c r="K10" s="79">
        <v>10</v>
      </c>
    </row>
    <row r="11" spans="1:14" ht="17" customHeight="1">
      <c r="A11" s="59" t="s">
        <v>148</v>
      </c>
      <c r="B11" s="80">
        <v>0.11937986475029716</v>
      </c>
      <c r="C11" s="80">
        <v>0</v>
      </c>
      <c r="D11" s="82">
        <v>0.06</v>
      </c>
      <c r="E11" s="79">
        <v>7.7454038252323066E-3</v>
      </c>
      <c r="F11" s="79">
        <v>0.10405531034788269</v>
      </c>
      <c r="G11" s="79">
        <v>0</v>
      </c>
      <c r="H11" s="79">
        <v>0</v>
      </c>
      <c r="J11" s="81" t="s">
        <v>157</v>
      </c>
      <c r="K11" s="79">
        <v>0</v>
      </c>
    </row>
    <row r="12" spans="1:14" ht="17" customHeight="1">
      <c r="A12" s="59" t="s">
        <v>43</v>
      </c>
      <c r="B12" s="80">
        <v>0.15447556589640563</v>
      </c>
      <c r="C12" s="80">
        <v>3.125E-2</v>
      </c>
      <c r="D12" s="79">
        <v>5.5E-2</v>
      </c>
      <c r="E12" s="79">
        <v>0.15205151382484985</v>
      </c>
      <c r="F12" s="79">
        <v>8.1720314368045097E-2</v>
      </c>
      <c r="G12" s="79">
        <v>0</v>
      </c>
      <c r="H12" s="79">
        <v>0</v>
      </c>
      <c r="J12" s="69" t="s">
        <v>145</v>
      </c>
      <c r="K12" s="56">
        <f>SUM(K5:K11)</f>
        <v>100</v>
      </c>
    </row>
    <row r="13" spans="1:14" ht="17" customHeight="1">
      <c r="A13" s="59" t="s">
        <v>48</v>
      </c>
      <c r="B13" s="80">
        <v>1.4715687111210879E-2</v>
      </c>
      <c r="C13" s="80">
        <v>9.375E-2</v>
      </c>
      <c r="D13" s="79">
        <v>0</v>
      </c>
      <c r="E13" s="79">
        <v>5.5715646914677643E-3</v>
      </c>
      <c r="F13" s="79">
        <v>2.2100428968094925E-2</v>
      </c>
      <c r="G13" s="79">
        <v>0</v>
      </c>
      <c r="H13" s="79">
        <v>0</v>
      </c>
    </row>
    <row r="14" spans="1:14" ht="17" customHeight="1">
      <c r="A14" s="59" t="s">
        <v>147</v>
      </c>
      <c r="B14" s="80">
        <v>3.2333366204681112E-4</v>
      </c>
      <c r="C14" s="80">
        <v>0</v>
      </c>
      <c r="D14" s="79">
        <v>0</v>
      </c>
      <c r="E14" s="79">
        <v>5.6082056346693475E-4</v>
      </c>
      <c r="F14" s="79">
        <v>1.4146949514203062E-3</v>
      </c>
      <c r="G14" s="79">
        <v>0</v>
      </c>
      <c r="H14" s="79">
        <v>0</v>
      </c>
    </row>
    <row r="15" spans="1:14" ht="17" customHeight="1">
      <c r="A15" s="59" t="s">
        <v>146</v>
      </c>
      <c r="B15" s="80">
        <v>0</v>
      </c>
      <c r="C15" s="80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J15" s="75"/>
    </row>
    <row r="16" spans="1:14" ht="17" customHeight="1">
      <c r="A16" s="59" t="s">
        <v>145</v>
      </c>
      <c r="B16" s="78">
        <f>SUM(B5:B15)</f>
        <v>0.66666666666666674</v>
      </c>
      <c r="C16" s="78">
        <f>SUM(C5:C15)</f>
        <v>0.625</v>
      </c>
      <c r="D16" s="56">
        <f>SUM(D5:D15)</f>
        <v>0.66576666666666673</v>
      </c>
      <c r="E16" s="56">
        <f>SUM(E5:E15)</f>
        <v>0.61557601859700251</v>
      </c>
      <c r="F16" s="56">
        <f>SUM(F5:F15)</f>
        <v>0.64851512391951527</v>
      </c>
      <c r="G16" s="56">
        <f>SUM(G5:G15)</f>
        <v>0.5</v>
      </c>
      <c r="H16" s="56">
        <f>SUM(H5:H15)</f>
        <v>0.60000000000000009</v>
      </c>
      <c r="J16" s="75"/>
    </row>
    <row r="17" spans="1:10" ht="17" customHeight="1">
      <c r="A17" s="59"/>
      <c r="B17" s="59"/>
      <c r="C17" s="59"/>
      <c r="D17" s="59"/>
      <c r="E17" s="59"/>
      <c r="F17" s="59"/>
      <c r="G17" s="59"/>
      <c r="H17" s="59"/>
      <c r="J17" s="75"/>
    </row>
    <row r="18" spans="1:10" ht="17" customHeight="1">
      <c r="B18" s="70" t="s">
        <v>156</v>
      </c>
    </row>
    <row r="19" spans="1:10" ht="17" customHeight="1">
      <c r="B19" s="70" t="s">
        <v>155</v>
      </c>
      <c r="H19" s="56" t="s">
        <v>154</v>
      </c>
      <c r="J19" s="75"/>
    </row>
    <row r="20" spans="1:10" ht="17" customHeight="1">
      <c r="B20" s="59"/>
      <c r="G20" s="59" t="s">
        <v>46</v>
      </c>
      <c r="H20" s="77">
        <f t="array" ref="H20">MMULT(B5:H5,K5:K11/K12)</f>
        <v>0.32127836120854003</v>
      </c>
      <c r="J20" s="75"/>
    </row>
    <row r="21" spans="1:10" ht="17" customHeight="1">
      <c r="B21" s="70" t="s">
        <v>153</v>
      </c>
      <c r="G21" s="59" t="s">
        <v>152</v>
      </c>
      <c r="H21" s="77">
        <f t="array" ref="H21">MMULT(B6:H6,K5:K11/K12)</f>
        <v>3.7529674456185152E-4</v>
      </c>
      <c r="J21" s="75"/>
    </row>
    <row r="22" spans="1:10" ht="17" customHeight="1">
      <c r="B22" s="70" t="s">
        <v>151</v>
      </c>
      <c r="G22" s="59" t="s">
        <v>45</v>
      </c>
      <c r="H22" s="77">
        <f t="array" ref="H22">MMULT(B7:H7,K5:K11/K12)</f>
        <v>0.11071403488659437</v>
      </c>
      <c r="J22" s="75"/>
    </row>
    <row r="23" spans="1:10" ht="17" customHeight="1">
      <c r="B23" s="59"/>
      <c r="G23" s="59" t="s">
        <v>138</v>
      </c>
      <c r="H23" s="77">
        <f t="array" ref="H23">MMULT(B8:H8,K5:K11/K12)</f>
        <v>8.1881412303974315E-3</v>
      </c>
      <c r="J23" s="75"/>
    </row>
    <row r="24" spans="1:10" ht="17" customHeight="1">
      <c r="B24" s="59"/>
      <c r="G24" s="59" t="s">
        <v>150</v>
      </c>
      <c r="H24" s="77">
        <f t="array" ref="H24">MMULT(B9:H9,K5:K11/K12)</f>
        <v>4.0149368544330329E-2</v>
      </c>
      <c r="J24" s="75"/>
    </row>
    <row r="25" spans="1:10" ht="17" customHeight="1">
      <c r="B25" s="59"/>
      <c r="G25" s="59" t="s">
        <v>149</v>
      </c>
      <c r="H25" s="77">
        <f t="array" ref="H25">MMULT(B10:H10,K5:K11/K12)</f>
        <v>5.1082184899832917E-4</v>
      </c>
      <c r="J25" s="75"/>
    </row>
    <row r="26" spans="1:10" ht="17" customHeight="1">
      <c r="B26" s="59"/>
      <c r="G26" s="59" t="s">
        <v>148</v>
      </c>
      <c r="H26" s="77">
        <f t="array" ref="H26">MMULT(B11:H11,K5:K11/K12)</f>
        <v>4.7170461981188079E-2</v>
      </c>
      <c r="J26" s="75"/>
    </row>
    <row r="27" spans="1:10" ht="17" customHeight="1">
      <c r="B27" s="59"/>
      <c r="G27" s="59" t="s">
        <v>43</v>
      </c>
      <c r="H27" s="77">
        <f t="array" ref="H27">MMULT(B12:H12,K5:K11/K12)</f>
        <v>6.9879167315954407E-2</v>
      </c>
      <c r="J27" s="75"/>
    </row>
    <row r="28" spans="1:10" ht="17" customHeight="1">
      <c r="B28" s="59"/>
      <c r="G28" s="59" t="s">
        <v>48</v>
      </c>
      <c r="H28" s="77">
        <f t="array" ref="H28">MMULT(B13:H13,K5:K11/K12)</f>
        <v>3.5181556661444492E-2</v>
      </c>
      <c r="J28" s="75"/>
    </row>
    <row r="29" spans="1:10" ht="17" customHeight="1">
      <c r="G29" s="59" t="s">
        <v>147</v>
      </c>
      <c r="H29" s="77">
        <f t="array" ref="H29">MMULT(B14:H14,K5:K11/K12)</f>
        <v>1.281328002610901E-4</v>
      </c>
      <c r="J29" s="75"/>
    </row>
    <row r="30" spans="1:10" ht="17" customHeight="1">
      <c r="G30" s="59" t="s">
        <v>146</v>
      </c>
      <c r="H30" s="77">
        <f t="array" ref="H30">MMULT(B15:H15,K5:K11/K12)</f>
        <v>0</v>
      </c>
      <c r="J30" s="75"/>
    </row>
    <row r="31" spans="1:10" ht="17" customHeight="1">
      <c r="G31" s="59" t="s">
        <v>145</v>
      </c>
      <c r="H31" s="76">
        <f>SUM(H20:H30)</f>
        <v>0.63357534322227049</v>
      </c>
      <c r="J31" s="75"/>
    </row>
    <row r="32" spans="1:10" ht="17" customHeight="1">
      <c r="J32" s="75"/>
    </row>
    <row r="33" spans="2:15" ht="17" customHeight="1">
      <c r="B33" s="69" t="s">
        <v>144</v>
      </c>
      <c r="H33" s="69" t="s">
        <v>49</v>
      </c>
    </row>
    <row r="34" spans="2:15" ht="17" customHeight="1">
      <c r="B34" s="69" t="s">
        <v>143</v>
      </c>
      <c r="D34" s="69" t="s">
        <v>141</v>
      </c>
      <c r="E34" s="69" t="s">
        <v>140</v>
      </c>
      <c r="F34" s="69" t="s">
        <v>139</v>
      </c>
      <c r="G34" s="69" t="s">
        <v>138</v>
      </c>
      <c r="H34" s="69" t="s">
        <v>136</v>
      </c>
      <c r="I34" s="69" t="s">
        <v>134</v>
      </c>
      <c r="J34" s="69" t="s">
        <v>133</v>
      </c>
      <c r="K34" s="69" t="s">
        <v>132</v>
      </c>
      <c r="L34" s="69" t="s">
        <v>131</v>
      </c>
      <c r="N34" s="69" t="s">
        <v>142</v>
      </c>
    </row>
    <row r="35" spans="2:15" ht="17" customHeight="1">
      <c r="B35" s="73" t="s">
        <v>116</v>
      </c>
      <c r="D35" s="72">
        <f>1/3</f>
        <v>0.33333333333333331</v>
      </c>
      <c r="E35" s="72">
        <v>0</v>
      </c>
      <c r="F35" s="72">
        <v>0</v>
      </c>
      <c r="G35" s="72">
        <v>0</v>
      </c>
      <c r="H35" s="72">
        <f>1/6</f>
        <v>0.16666666666666666</v>
      </c>
      <c r="I35" s="72">
        <f>1/6</f>
        <v>0.16666666666666666</v>
      </c>
      <c r="J35" s="72">
        <v>0</v>
      </c>
      <c r="K35" s="72">
        <v>0</v>
      </c>
      <c r="L35" s="72">
        <v>0</v>
      </c>
      <c r="N35" s="74" t="s">
        <v>141</v>
      </c>
    </row>
    <row r="36" spans="2:15" ht="17" customHeight="1">
      <c r="B36" s="73" t="s">
        <v>114</v>
      </c>
      <c r="D36" s="72">
        <f>1/3</f>
        <v>0.33333333333333331</v>
      </c>
      <c r="E36" s="72">
        <v>0</v>
      </c>
      <c r="F36" s="72">
        <v>0</v>
      </c>
      <c r="G36" s="72">
        <v>0</v>
      </c>
      <c r="H36" s="72">
        <f>1/3</f>
        <v>0.33333333333333331</v>
      </c>
      <c r="I36" s="72">
        <v>0</v>
      </c>
      <c r="J36" s="72">
        <v>0</v>
      </c>
      <c r="K36" s="72">
        <v>0</v>
      </c>
      <c r="L36" s="72">
        <v>0</v>
      </c>
      <c r="N36" s="74" t="s">
        <v>140</v>
      </c>
    </row>
    <row r="37" spans="2:15" ht="17" customHeight="1">
      <c r="B37" s="73" t="s">
        <v>52</v>
      </c>
      <c r="D37" s="72">
        <v>0.5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N37" s="74" t="s">
        <v>139</v>
      </c>
    </row>
    <row r="38" spans="2:15" ht="17" customHeight="1">
      <c r="B38" s="73" t="s">
        <v>53</v>
      </c>
      <c r="D38" s="72">
        <v>0.25</v>
      </c>
      <c r="E38" s="72">
        <v>0</v>
      </c>
      <c r="F38" s="72">
        <v>0.25</v>
      </c>
      <c r="G38" s="72">
        <v>0</v>
      </c>
      <c r="H38" s="72">
        <v>0</v>
      </c>
      <c r="I38" s="72">
        <v>0.125</v>
      </c>
      <c r="J38" s="72">
        <v>0</v>
      </c>
      <c r="K38" s="72">
        <v>0</v>
      </c>
      <c r="L38" s="72">
        <v>0</v>
      </c>
      <c r="N38" s="74" t="s">
        <v>138</v>
      </c>
    </row>
    <row r="39" spans="2:15" ht="17" customHeight="1">
      <c r="B39" s="73" t="s">
        <v>109</v>
      </c>
      <c r="C39" s="69" t="s">
        <v>137</v>
      </c>
      <c r="D39" s="72">
        <v>0.375</v>
      </c>
      <c r="E39" s="72">
        <v>0</v>
      </c>
      <c r="F39" s="72">
        <v>0.125</v>
      </c>
      <c r="G39" s="72">
        <v>0</v>
      </c>
      <c r="H39" s="72">
        <v>0</v>
      </c>
      <c r="I39" s="72">
        <v>0</v>
      </c>
      <c r="J39" s="72">
        <v>0.125</v>
      </c>
      <c r="K39" s="72">
        <v>0</v>
      </c>
      <c r="L39" s="72">
        <v>0</v>
      </c>
      <c r="M39" s="69" t="s">
        <v>59</v>
      </c>
      <c r="N39" s="74" t="s">
        <v>136</v>
      </c>
      <c r="O39" s="56" t="s">
        <v>135</v>
      </c>
    </row>
    <row r="40" spans="2:15" ht="17" customHeight="1">
      <c r="B40" s="73" t="s">
        <v>107</v>
      </c>
      <c r="D40" s="72">
        <v>0.375</v>
      </c>
      <c r="E40" s="72">
        <v>0</v>
      </c>
      <c r="F40" s="72">
        <v>0.125</v>
      </c>
      <c r="G40" s="72">
        <v>0</v>
      </c>
      <c r="H40" s="72">
        <v>0</v>
      </c>
      <c r="I40" s="72">
        <v>0</v>
      </c>
      <c r="J40" s="72">
        <v>0</v>
      </c>
      <c r="K40" s="72">
        <v>0.125</v>
      </c>
      <c r="L40" s="72">
        <v>0</v>
      </c>
      <c r="N40" s="74" t="s">
        <v>134</v>
      </c>
    </row>
    <row r="41" spans="2:15" ht="17" customHeight="1">
      <c r="B41" s="73" t="s">
        <v>69</v>
      </c>
      <c r="D41" s="72">
        <v>0</v>
      </c>
      <c r="E41" s="72">
        <f>1/3</f>
        <v>0.33333333333333331</v>
      </c>
      <c r="F41" s="72">
        <v>0</v>
      </c>
      <c r="G41" s="72">
        <v>0</v>
      </c>
      <c r="H41" s="72">
        <f>1/3</f>
        <v>0.33333333333333331</v>
      </c>
      <c r="I41" s="72">
        <v>0</v>
      </c>
      <c r="J41" s="72">
        <v>0</v>
      </c>
      <c r="K41" s="72">
        <v>0</v>
      </c>
      <c r="L41" s="72">
        <v>0</v>
      </c>
      <c r="N41" s="74" t="s">
        <v>133</v>
      </c>
    </row>
    <row r="42" spans="2:15" ht="17" customHeight="1">
      <c r="B42" s="73" t="s">
        <v>70</v>
      </c>
      <c r="D42" s="72">
        <v>0</v>
      </c>
      <c r="E42" s="72">
        <v>0</v>
      </c>
      <c r="F42" s="72">
        <v>0</v>
      </c>
      <c r="G42" s="72">
        <f>0.5</f>
        <v>0.5</v>
      </c>
      <c r="H42" s="72">
        <v>0.25</v>
      </c>
      <c r="I42" s="72">
        <v>0</v>
      </c>
      <c r="J42" s="72">
        <v>0</v>
      </c>
      <c r="K42" s="72">
        <v>0</v>
      </c>
      <c r="L42" s="72">
        <v>0</v>
      </c>
      <c r="N42" s="74" t="s">
        <v>132</v>
      </c>
    </row>
    <row r="43" spans="2:15" ht="17" customHeight="1">
      <c r="B43" s="73" t="s">
        <v>105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f>5/13</f>
        <v>0.38461538461538464</v>
      </c>
      <c r="J43" s="72">
        <v>0</v>
      </c>
      <c r="K43" s="72">
        <v>0</v>
      </c>
      <c r="L43" s="72">
        <f>3/13</f>
        <v>0.23076923076923078</v>
      </c>
      <c r="N43" s="74" t="s">
        <v>131</v>
      </c>
    </row>
    <row r="46" spans="2:15" ht="17" customHeight="1">
      <c r="B46" s="69" t="s">
        <v>119</v>
      </c>
      <c r="H46" s="69" t="s">
        <v>130</v>
      </c>
      <c r="N46" s="67" t="s">
        <v>129</v>
      </c>
    </row>
    <row r="47" spans="2:15" ht="17" customHeight="1">
      <c r="B47" s="73" t="s">
        <v>116</v>
      </c>
      <c r="D47" s="72">
        <f t="array" ref="D47:L55">MINVERSE(TRANSPOSE(D35:L43))</f>
        <v>0</v>
      </c>
      <c r="E47" s="72">
        <v>0</v>
      </c>
      <c r="F47" s="72">
        <v>-3</v>
      </c>
      <c r="G47" s="72">
        <v>0</v>
      </c>
      <c r="H47" s="72">
        <v>0</v>
      </c>
      <c r="I47" s="72">
        <v>6</v>
      </c>
      <c r="J47" s="72">
        <v>3</v>
      </c>
      <c r="K47" s="72">
        <v>3</v>
      </c>
      <c r="L47" s="72">
        <v>-10.000000000000002</v>
      </c>
      <c r="N47" s="71">
        <f>H20</f>
        <v>0.32127836120854003</v>
      </c>
      <c r="O47" s="70" t="s">
        <v>128</v>
      </c>
    </row>
    <row r="48" spans="2:15" ht="17" customHeight="1">
      <c r="B48" s="73" t="s">
        <v>114</v>
      </c>
      <c r="D48" s="72">
        <v>0</v>
      </c>
      <c r="E48" s="72">
        <v>-3</v>
      </c>
      <c r="F48" s="72">
        <v>1.5</v>
      </c>
      <c r="G48" s="72">
        <v>-1.5</v>
      </c>
      <c r="H48" s="72">
        <v>3</v>
      </c>
      <c r="I48" s="72">
        <v>-3</v>
      </c>
      <c r="J48" s="72">
        <v>-1.5</v>
      </c>
      <c r="K48" s="72">
        <v>-1.5</v>
      </c>
      <c r="L48" s="72">
        <v>5.0000000000000009</v>
      </c>
      <c r="N48" s="71">
        <f>H21</f>
        <v>3.7529674456185152E-4</v>
      </c>
      <c r="O48" s="70" t="s">
        <v>127</v>
      </c>
    </row>
    <row r="49" spans="2:15" ht="17" customHeight="1">
      <c r="B49" s="73" t="s">
        <v>52</v>
      </c>
      <c r="D49" s="72">
        <v>2</v>
      </c>
      <c r="E49" s="72">
        <v>2</v>
      </c>
      <c r="F49" s="72">
        <v>-1</v>
      </c>
      <c r="G49" s="72">
        <v>1</v>
      </c>
      <c r="H49" s="72">
        <v>-2</v>
      </c>
      <c r="I49" s="72">
        <v>-2</v>
      </c>
      <c r="J49" s="72">
        <v>-5</v>
      </c>
      <c r="K49" s="72">
        <v>-5</v>
      </c>
      <c r="L49" s="72">
        <v>3.3333333333333335</v>
      </c>
      <c r="N49" s="71">
        <f>H22</f>
        <v>0.11071403488659437</v>
      </c>
      <c r="O49" s="70" t="s">
        <v>126</v>
      </c>
    </row>
    <row r="50" spans="2:15" ht="17" customHeight="1">
      <c r="B50" s="73" t="s">
        <v>53</v>
      </c>
      <c r="D50" s="72">
        <v>0</v>
      </c>
      <c r="E50" s="72">
        <v>0</v>
      </c>
      <c r="F50" s="72">
        <v>4</v>
      </c>
      <c r="G50" s="72">
        <v>0</v>
      </c>
      <c r="H50" s="72">
        <v>0</v>
      </c>
      <c r="I50" s="72">
        <v>0</v>
      </c>
      <c r="J50" s="72">
        <v>-4</v>
      </c>
      <c r="K50" s="72">
        <v>-4</v>
      </c>
      <c r="L50" s="72">
        <v>0</v>
      </c>
      <c r="N50" s="71">
        <f>H23</f>
        <v>8.1881412303974315E-3</v>
      </c>
      <c r="O50" s="70" t="s">
        <v>125</v>
      </c>
    </row>
    <row r="51" spans="2:15" ht="17" customHeight="1">
      <c r="B51" s="73" t="s">
        <v>109</v>
      </c>
      <c r="C51" s="69" t="s">
        <v>63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8</v>
      </c>
      <c r="K51" s="72">
        <v>0</v>
      </c>
      <c r="L51" s="72">
        <v>0</v>
      </c>
      <c r="M51" s="69" t="s">
        <v>59</v>
      </c>
      <c r="N51" s="71">
        <f>H24+H25+H26</f>
        <v>8.7830652374516732E-2</v>
      </c>
      <c r="O51" s="70" t="s">
        <v>124</v>
      </c>
    </row>
    <row r="52" spans="2:15" ht="17" customHeight="1">
      <c r="B52" s="73" t="s">
        <v>107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8</v>
      </c>
      <c r="L52" s="72">
        <v>0</v>
      </c>
      <c r="N52" s="71">
        <f>H27</f>
        <v>6.9879167315954407E-2</v>
      </c>
      <c r="O52" s="70" t="s">
        <v>123</v>
      </c>
    </row>
    <row r="53" spans="2:15" ht="17" customHeight="1">
      <c r="B53" s="73" t="s">
        <v>69</v>
      </c>
      <c r="D53" s="72">
        <v>0</v>
      </c>
      <c r="E53" s="72">
        <v>3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N53" s="71">
        <f>H28</f>
        <v>3.5181556661444492E-2</v>
      </c>
      <c r="O53" s="70" t="s">
        <v>122</v>
      </c>
    </row>
    <row r="54" spans="2:15" ht="17" customHeight="1">
      <c r="B54" s="73" t="s">
        <v>70</v>
      </c>
      <c r="D54" s="72">
        <v>0</v>
      </c>
      <c r="E54" s="72">
        <v>0</v>
      </c>
      <c r="F54" s="72">
        <v>0</v>
      </c>
      <c r="G54" s="72">
        <v>2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N54" s="71">
        <f>H29</f>
        <v>1.281328002610901E-4</v>
      </c>
      <c r="O54" s="70" t="s">
        <v>121</v>
      </c>
    </row>
    <row r="55" spans="2:15" ht="17" customHeight="1">
      <c r="B55" s="73" t="s">
        <v>105</v>
      </c>
      <c r="D55" s="72">
        <v>0</v>
      </c>
      <c r="E55" s="72">
        <v>0</v>
      </c>
      <c r="F55" s="72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  <c r="L55" s="72">
        <v>4.333333333333333</v>
      </c>
      <c r="N55" s="71">
        <f>H30</f>
        <v>0</v>
      </c>
      <c r="O55" s="70" t="s">
        <v>120</v>
      </c>
    </row>
    <row r="57" spans="2:15" ht="17" customHeight="1">
      <c r="C57" s="69" t="s">
        <v>119</v>
      </c>
      <c r="D57" s="56" t="s">
        <v>118</v>
      </c>
      <c r="H57" s="56" t="s">
        <v>118</v>
      </c>
    </row>
    <row r="58" spans="2:15" ht="17" customHeight="1">
      <c r="B58" s="65" t="s">
        <v>117</v>
      </c>
      <c r="C58" s="60">
        <f t="array" ref="C58:C66">MMULT(D47:L55,N47:N55)</f>
        <v>0.19306196762106012</v>
      </c>
      <c r="D58" s="64">
        <f t="array" ref="D58:D66">MMULT(C58:C66,100/C68)</f>
        <v>19.36379933060724</v>
      </c>
      <c r="E58" s="63" t="s">
        <v>116</v>
      </c>
      <c r="H58" s="62">
        <f>D58</f>
        <v>19.36379933060724</v>
      </c>
      <c r="I58" s="61" t="s">
        <v>116</v>
      </c>
    </row>
    <row r="59" spans="2:15" ht="17" customHeight="1">
      <c r="B59" s="65" t="s">
        <v>115</v>
      </c>
      <c r="C59" s="60">
        <v>0.15355287123373845</v>
      </c>
      <c r="D59" s="68">
        <v>15.401101635122542</v>
      </c>
      <c r="E59" s="63" t="s">
        <v>114</v>
      </c>
      <c r="H59" s="66">
        <f>D59+3*D60</f>
        <v>30.088794598664848</v>
      </c>
      <c r="I59" s="61" t="s">
        <v>114</v>
      </c>
    </row>
    <row r="60" spans="2:15" ht="17" customHeight="1">
      <c r="B60" s="65" t="s">
        <v>52</v>
      </c>
      <c r="C60" s="60">
        <v>4.8813335560536623E-2</v>
      </c>
      <c r="D60" s="68">
        <v>4.8958976545141013</v>
      </c>
      <c r="E60" s="63" t="s">
        <v>113</v>
      </c>
      <c r="G60" s="67" t="s">
        <v>112</v>
      </c>
      <c r="H60" s="66">
        <f>-2*D60</f>
        <v>-9.7917953090282026</v>
      </c>
      <c r="I60" s="61" t="s">
        <v>111</v>
      </c>
    </row>
    <row r="61" spans="2:15" ht="17" customHeight="1">
      <c r="B61" s="65" t="s">
        <v>53</v>
      </c>
      <c r="C61" s="60">
        <v>0.30161738169955515</v>
      </c>
      <c r="D61" s="64">
        <v>30.251729669081904</v>
      </c>
      <c r="E61" s="63" t="s">
        <v>110</v>
      </c>
      <c r="H61" s="62">
        <f>D61</f>
        <v>30.251729669081904</v>
      </c>
      <c r="I61" s="61" t="s">
        <v>110</v>
      </c>
    </row>
    <row r="62" spans="2:15" ht="17" customHeight="1">
      <c r="B62" s="65" t="s">
        <v>109</v>
      </c>
      <c r="C62" s="60">
        <v>0.28145245329155594</v>
      </c>
      <c r="D62" s="64">
        <v>28.22922035758992</v>
      </c>
      <c r="E62" s="63" t="s">
        <v>108</v>
      </c>
      <c r="H62" s="62">
        <f>D62</f>
        <v>28.22922035758992</v>
      </c>
      <c r="I62" s="61" t="s">
        <v>108</v>
      </c>
    </row>
    <row r="63" spans="2:15" ht="17" customHeight="1">
      <c r="B63" s="65" t="s">
        <v>107</v>
      </c>
      <c r="C63" s="60">
        <v>1.0250624020887208E-3</v>
      </c>
      <c r="D63" s="64">
        <v>0.102812081012019</v>
      </c>
      <c r="E63" s="63" t="s">
        <v>106</v>
      </c>
      <c r="H63" s="62">
        <f>D63</f>
        <v>0.102812081012019</v>
      </c>
      <c r="I63" s="61" t="s">
        <v>106</v>
      </c>
    </row>
    <row r="64" spans="2:15" ht="17" customHeight="1">
      <c r="B64" s="65" t="s">
        <v>69</v>
      </c>
      <c r="C64" s="60">
        <v>1.1258902336855545E-3</v>
      </c>
      <c r="D64" s="64">
        <v>0.11292494747680876</v>
      </c>
      <c r="E64" s="63" t="s">
        <v>69</v>
      </c>
      <c r="H64" s="62">
        <f>D64</f>
        <v>0.11292494747680876</v>
      </c>
      <c r="I64" s="61" t="s">
        <v>69</v>
      </c>
    </row>
    <row r="65" spans="2:9" ht="17" customHeight="1">
      <c r="B65" s="65" t="s">
        <v>70</v>
      </c>
      <c r="C65" s="60">
        <v>1.6376282460794863E-2</v>
      </c>
      <c r="D65" s="64">
        <v>1.6425143245954523</v>
      </c>
      <c r="E65" s="63" t="s">
        <v>70</v>
      </c>
      <c r="H65" s="62">
        <f>D65</f>
        <v>1.6425143245954523</v>
      </c>
      <c r="I65" s="61" t="s">
        <v>70</v>
      </c>
    </row>
    <row r="66" spans="2:9" ht="17" customHeight="1">
      <c r="B66" s="65" t="s">
        <v>105</v>
      </c>
      <c r="C66" s="60">
        <v>0</v>
      </c>
      <c r="D66" s="64">
        <v>0</v>
      </c>
      <c r="E66" s="63" t="s">
        <v>104</v>
      </c>
      <c r="H66" s="62">
        <f>D66</f>
        <v>0</v>
      </c>
      <c r="I66" s="61" t="s">
        <v>104</v>
      </c>
    </row>
    <row r="68" spans="2:9" ht="17" customHeight="1">
      <c r="C68" s="60">
        <f>SUM(C58:C66)</f>
        <v>0.99702524450301555</v>
      </c>
      <c r="D68" s="58">
        <f>SUM(D58:D66)</f>
        <v>100</v>
      </c>
      <c r="H68" s="58">
        <f>SUM(H58:H66)</f>
        <v>100</v>
      </c>
    </row>
    <row r="70" spans="2:9" ht="17" customHeight="1">
      <c r="B70" s="59" t="s">
        <v>103</v>
      </c>
      <c r="D70" s="58">
        <f>D58+D59</f>
        <v>34.76490096572978</v>
      </c>
      <c r="H70" s="58">
        <f>H58+H59</f>
        <v>49.452593929272084</v>
      </c>
    </row>
    <row r="71" spans="2:9" ht="17" customHeight="1">
      <c r="B71" s="59" t="s">
        <v>102</v>
      </c>
      <c r="D71" s="58">
        <f>D61+D62+D63</f>
        <v>58.583762107683839</v>
      </c>
      <c r="H71" s="58">
        <f>H61+H62+H63</f>
        <v>58.583762107683839</v>
      </c>
    </row>
    <row r="73" spans="2:9" ht="17" customHeight="1">
      <c r="D73" s="57" t="s">
        <v>101</v>
      </c>
    </row>
    <row r="74" spans="2:9" ht="17" customHeight="1">
      <c r="D74" s="57" t="s">
        <v>100</v>
      </c>
    </row>
    <row r="75" spans="2:9" ht="17" customHeight="1">
      <c r="D75" s="57" t="s">
        <v>99</v>
      </c>
    </row>
  </sheetData>
  <pageMargins left="0.75" right="0.75" top="1" bottom="1" header="0.5" footer="0.5"/>
  <pageSetup scale="52" orientation="landscape" horizontalDpi="4294967292" verticalDpi="4294967292"/>
  <rowBreaks count="2" manualBreakCount="2">
    <brk id="72" max="16383" man="1"/>
    <brk id="129" max="16383" man="1"/>
  </rowBreaks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11CD-8FA2-4EDD-A65A-1B936B5C35FB}">
  <dimension ref="B1:O61"/>
  <sheetViews>
    <sheetView topLeftCell="A31" workbookViewId="0">
      <selection activeCell="H43" sqref="H43"/>
    </sheetView>
  </sheetViews>
  <sheetFormatPr defaultColWidth="10.1328125" defaultRowHeight="16.05" customHeight="1"/>
  <cols>
    <col min="1" max="1" width="5.265625" style="56" customWidth="1"/>
    <col min="2" max="16384" width="10.1328125" style="56"/>
  </cols>
  <sheetData>
    <row r="1" spans="2:12" ht="16.05" customHeight="1">
      <c r="B1" s="56" t="s">
        <v>244</v>
      </c>
    </row>
    <row r="2" spans="2:12" ht="16.05" customHeight="1">
      <c r="B2" s="83" t="s">
        <v>246</v>
      </c>
      <c r="J2" s="83" t="s">
        <v>245</v>
      </c>
    </row>
    <row r="4" spans="2:12" ht="16.05" customHeight="1">
      <c r="E4" s="67" t="s">
        <v>242</v>
      </c>
      <c r="J4" s="75"/>
    </row>
    <row r="5" spans="2:12" ht="16.05" customHeight="1">
      <c r="E5" s="69" t="s">
        <v>241</v>
      </c>
      <c r="F5" s="56" t="s">
        <v>240</v>
      </c>
      <c r="G5" s="56" t="s">
        <v>239</v>
      </c>
      <c r="H5" s="56" t="s">
        <v>238</v>
      </c>
      <c r="K5" s="69" t="s">
        <v>237</v>
      </c>
    </row>
    <row r="6" spans="2:12" ht="16.05" customHeight="1">
      <c r="D6" s="56" t="s">
        <v>236</v>
      </c>
      <c r="E6" s="93">
        <v>45.17</v>
      </c>
      <c r="F6" s="56">
        <v>60.084000000000003</v>
      </c>
      <c r="G6" s="56">
        <f>E6/F6</f>
        <v>0.75178084015711333</v>
      </c>
      <c r="H6" s="56">
        <f>1*G6</f>
        <v>0.75178084015711333</v>
      </c>
      <c r="J6" s="56" t="s">
        <v>235</v>
      </c>
    </row>
    <row r="7" spans="2:12" ht="16.05" customHeight="1">
      <c r="D7" s="56" t="s">
        <v>234</v>
      </c>
      <c r="E7" s="93">
        <v>1.3160000000000001</v>
      </c>
      <c r="F7" s="56">
        <v>79.897999999999996</v>
      </c>
      <c r="G7" s="56">
        <f>E7/F7</f>
        <v>1.6471000525670233E-2</v>
      </c>
      <c r="H7" s="56">
        <f>1*G7</f>
        <v>1.6471000525670233E-2</v>
      </c>
      <c r="K7" s="75" t="s">
        <v>233</v>
      </c>
    </row>
    <row r="8" spans="2:12" ht="16.05" customHeight="1">
      <c r="D8" s="56" t="s">
        <v>232</v>
      </c>
      <c r="E8" s="93">
        <v>17.07</v>
      </c>
      <c r="F8" s="56">
        <v>101.961</v>
      </c>
      <c r="G8" s="56">
        <f>E8/F8</f>
        <v>0.16741695354105982</v>
      </c>
      <c r="H8" s="56">
        <f>2*G8</f>
        <v>0.33483390708211963</v>
      </c>
      <c r="J8" s="56" t="s">
        <v>231</v>
      </c>
      <c r="K8" s="95">
        <v>15.134499999999999</v>
      </c>
      <c r="L8" s="56" t="s">
        <v>230</v>
      </c>
    </row>
    <row r="9" spans="2:12" ht="16.05" customHeight="1">
      <c r="D9" s="56" t="s">
        <v>223</v>
      </c>
      <c r="E9" s="95">
        <v>3.5</v>
      </c>
      <c r="F9" s="56">
        <v>159.691</v>
      </c>
      <c r="G9" s="56">
        <f>E9/F9</f>
        <v>2.1917327839389822E-2</v>
      </c>
      <c r="H9" s="56">
        <f>2*G9</f>
        <v>4.3834655678779644E-2</v>
      </c>
      <c r="J9" s="56" t="s">
        <v>223</v>
      </c>
      <c r="K9" s="93">
        <v>3.5</v>
      </c>
      <c r="L9" s="56" t="s">
        <v>222</v>
      </c>
    </row>
    <row r="10" spans="2:12" ht="16.05" customHeight="1">
      <c r="D10" s="56" t="s">
        <v>229</v>
      </c>
      <c r="E10" s="95">
        <v>11.99</v>
      </c>
      <c r="F10" s="56">
        <v>71.846000000000004</v>
      </c>
      <c r="G10" s="56">
        <f>E10/F10</f>
        <v>0.16688472566322413</v>
      </c>
      <c r="H10" s="56">
        <f>1*G10</f>
        <v>0.16688472566322413</v>
      </c>
      <c r="J10" s="56" t="s">
        <v>229</v>
      </c>
      <c r="K10" s="96">
        <f>K8-K9*0.8998</f>
        <v>11.985199999999999</v>
      </c>
    </row>
    <row r="11" spans="2:12" ht="16.05" customHeight="1">
      <c r="D11" s="56" t="s">
        <v>228</v>
      </c>
      <c r="E11" s="93">
        <v>0.25600000000000001</v>
      </c>
      <c r="F11" s="56">
        <v>70.936999999999998</v>
      </c>
      <c r="G11" s="56">
        <f>E11/F11</f>
        <v>3.6088360094168066E-3</v>
      </c>
      <c r="H11" s="56">
        <f>1*G11</f>
        <v>3.6088360094168066E-3</v>
      </c>
    </row>
    <row r="12" spans="2:12" ht="16.05" customHeight="1">
      <c r="D12" s="56" t="s">
        <v>227</v>
      </c>
      <c r="E12" s="93">
        <v>5.79</v>
      </c>
      <c r="F12" s="56">
        <v>40.311</v>
      </c>
      <c r="G12" s="56">
        <f>E12/F12</f>
        <v>0.14363325146982214</v>
      </c>
      <c r="H12" s="56">
        <f>1*G12</f>
        <v>0.14363325146982214</v>
      </c>
      <c r="J12" s="56" t="s">
        <v>226</v>
      </c>
      <c r="K12" s="93">
        <v>16.82</v>
      </c>
      <c r="L12" s="56" t="s">
        <v>225</v>
      </c>
    </row>
    <row r="13" spans="2:12" ht="16.05" customHeight="1">
      <c r="D13" s="56" t="s">
        <v>224</v>
      </c>
      <c r="E13" s="93">
        <v>10.99</v>
      </c>
      <c r="F13" s="56">
        <v>56.079000000000001</v>
      </c>
      <c r="G13" s="56">
        <f>E13/F13</f>
        <v>0.19597353733126482</v>
      </c>
      <c r="H13" s="56">
        <f>1*G13</f>
        <v>0.19597353733126482</v>
      </c>
      <c r="J13" s="56" t="s">
        <v>223</v>
      </c>
      <c r="K13" s="93">
        <v>3.5</v>
      </c>
      <c r="L13" s="56" t="s">
        <v>222</v>
      </c>
    </row>
    <row r="14" spans="2:12" ht="16.05" customHeight="1">
      <c r="D14" s="56" t="s">
        <v>221</v>
      </c>
      <c r="E14" s="93">
        <v>2.3199999999999998</v>
      </c>
      <c r="F14" s="56">
        <v>61.981000000000002</v>
      </c>
      <c r="G14" s="56">
        <f>E14/F14</f>
        <v>3.7430825575579613E-2</v>
      </c>
      <c r="H14" s="56">
        <f>2*G14</f>
        <v>7.4861651151159225E-2</v>
      </c>
      <c r="J14" s="56" t="s">
        <v>220</v>
      </c>
      <c r="K14" s="96">
        <f>0.8998*(K12-K13)</f>
        <v>11.985336</v>
      </c>
    </row>
    <row r="15" spans="2:12" ht="16.05" customHeight="1">
      <c r="D15" s="56" t="s">
        <v>219</v>
      </c>
      <c r="E15" s="93">
        <v>0.03</v>
      </c>
      <c r="F15" s="56">
        <v>71.099999999999994</v>
      </c>
      <c r="G15" s="56">
        <f>E15/F15</f>
        <v>4.219409282700422E-4</v>
      </c>
      <c r="H15" s="56">
        <f>2*G15</f>
        <v>8.438818565400844E-4</v>
      </c>
      <c r="J15" s="75"/>
    </row>
    <row r="16" spans="2:12" ht="16.05" customHeight="1">
      <c r="D16" s="56" t="s">
        <v>218</v>
      </c>
      <c r="E16" s="93">
        <v>0.01</v>
      </c>
      <c r="F16" s="56">
        <v>141.94300000000001</v>
      </c>
      <c r="G16" s="56">
        <f>E16/F16</f>
        <v>7.045081476367274E-5</v>
      </c>
      <c r="H16" s="56">
        <f>2*G16</f>
        <v>1.4090162952734548E-4</v>
      </c>
      <c r="J16" s="75"/>
    </row>
    <row r="17" spans="2:15" ht="16.05" customHeight="1">
      <c r="E17" s="56">
        <f>SUM(E6:E16)</f>
        <v>98.442000000000007</v>
      </c>
      <c r="H17" s="56">
        <f>SUM(H6:H16)</f>
        <v>1.7328671885546376</v>
      </c>
      <c r="J17" s="75"/>
    </row>
    <row r="19" spans="2:15" ht="16.05" customHeight="1">
      <c r="B19" s="69" t="s">
        <v>144</v>
      </c>
      <c r="H19" s="69" t="s">
        <v>49</v>
      </c>
    </row>
    <row r="20" spans="2:15" ht="16.05" customHeight="1">
      <c r="B20" s="69" t="s">
        <v>217</v>
      </c>
      <c r="D20" s="69" t="s">
        <v>215</v>
      </c>
      <c r="E20" s="69" t="s">
        <v>214</v>
      </c>
      <c r="F20" s="69" t="s">
        <v>213</v>
      </c>
      <c r="G20" s="69" t="s">
        <v>138</v>
      </c>
      <c r="H20" s="69" t="s">
        <v>212</v>
      </c>
      <c r="I20" s="69" t="s">
        <v>211</v>
      </c>
      <c r="J20" s="69" t="s">
        <v>210</v>
      </c>
      <c r="K20" s="69" t="s">
        <v>209</v>
      </c>
      <c r="L20" s="69" t="s">
        <v>208</v>
      </c>
      <c r="N20" s="69" t="s">
        <v>216</v>
      </c>
    </row>
    <row r="21" spans="2:15" ht="16.05" customHeight="1">
      <c r="B21" s="73" t="s">
        <v>197</v>
      </c>
      <c r="D21" s="72">
        <f>1/3</f>
        <v>0.33333333333333331</v>
      </c>
      <c r="E21" s="72">
        <v>0</v>
      </c>
      <c r="F21" s="72">
        <v>0</v>
      </c>
      <c r="G21" s="72">
        <v>0</v>
      </c>
      <c r="H21" s="72">
        <f>1/6</f>
        <v>0.16666666666666666</v>
      </c>
      <c r="I21" s="72">
        <f>1/6</f>
        <v>0.16666666666666666</v>
      </c>
      <c r="J21" s="72">
        <v>0</v>
      </c>
      <c r="K21" s="72">
        <v>0</v>
      </c>
      <c r="L21" s="72">
        <v>0</v>
      </c>
      <c r="N21" s="74" t="s">
        <v>215</v>
      </c>
    </row>
    <row r="22" spans="2:15" ht="16.05" customHeight="1">
      <c r="B22" s="73" t="s">
        <v>195</v>
      </c>
      <c r="D22" s="72">
        <f>1/3</f>
        <v>0.33333333333333331</v>
      </c>
      <c r="E22" s="72">
        <v>0</v>
      </c>
      <c r="F22" s="72">
        <v>0</v>
      </c>
      <c r="G22" s="72">
        <v>0</v>
      </c>
      <c r="H22" s="72">
        <f>1/3</f>
        <v>0.33333333333333331</v>
      </c>
      <c r="I22" s="72">
        <v>0</v>
      </c>
      <c r="J22" s="72">
        <v>0</v>
      </c>
      <c r="K22" s="72">
        <v>0</v>
      </c>
      <c r="L22" s="72">
        <v>0</v>
      </c>
      <c r="N22" s="74" t="s">
        <v>214</v>
      </c>
    </row>
    <row r="23" spans="2:15" ht="16.05" customHeight="1">
      <c r="B23" s="73" t="s">
        <v>52</v>
      </c>
      <c r="D23" s="72">
        <v>0.5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N23" s="74" t="s">
        <v>213</v>
      </c>
    </row>
    <row r="24" spans="2:15" ht="16.05" customHeight="1">
      <c r="B24" s="73" t="s">
        <v>53</v>
      </c>
      <c r="D24" s="72">
        <v>0.25</v>
      </c>
      <c r="E24" s="72">
        <v>0</v>
      </c>
      <c r="F24" s="72">
        <v>0.25</v>
      </c>
      <c r="G24" s="72">
        <v>0</v>
      </c>
      <c r="H24" s="72">
        <v>0</v>
      </c>
      <c r="I24" s="72">
        <v>0.125</v>
      </c>
      <c r="J24" s="72">
        <v>0</v>
      </c>
      <c r="K24" s="72">
        <v>0</v>
      </c>
      <c r="L24" s="72">
        <v>0</v>
      </c>
      <c r="N24" s="74" t="s">
        <v>138</v>
      </c>
    </row>
    <row r="25" spans="2:15" ht="16.05" customHeight="1">
      <c r="B25" s="73" t="s">
        <v>109</v>
      </c>
      <c r="C25" s="69" t="s">
        <v>137</v>
      </c>
      <c r="D25" s="72">
        <v>0.375</v>
      </c>
      <c r="E25" s="72">
        <v>0</v>
      </c>
      <c r="F25" s="72">
        <v>0.125</v>
      </c>
      <c r="G25" s="72">
        <v>0</v>
      </c>
      <c r="H25" s="72">
        <v>0</v>
      </c>
      <c r="I25" s="72">
        <v>0</v>
      </c>
      <c r="J25" s="72">
        <v>0.125</v>
      </c>
      <c r="K25" s="72">
        <v>0</v>
      </c>
      <c r="L25" s="72">
        <v>0</v>
      </c>
      <c r="M25" s="69" t="s">
        <v>59</v>
      </c>
      <c r="N25" s="74" t="s">
        <v>212</v>
      </c>
      <c r="O25" s="56" t="s">
        <v>135</v>
      </c>
    </row>
    <row r="26" spans="2:15" ht="16.05" customHeight="1">
      <c r="B26" s="73" t="s">
        <v>107</v>
      </c>
      <c r="D26" s="72">
        <v>0.375</v>
      </c>
      <c r="E26" s="72">
        <v>0</v>
      </c>
      <c r="F26" s="72">
        <v>0.125</v>
      </c>
      <c r="G26" s="72">
        <v>0</v>
      </c>
      <c r="H26" s="72">
        <v>0</v>
      </c>
      <c r="I26" s="72">
        <v>0</v>
      </c>
      <c r="J26" s="72">
        <v>0</v>
      </c>
      <c r="K26" s="72">
        <v>0.125</v>
      </c>
      <c r="L26" s="72">
        <v>0</v>
      </c>
      <c r="N26" s="74" t="s">
        <v>211</v>
      </c>
    </row>
    <row r="27" spans="2:15" ht="16.05" customHeight="1">
      <c r="B27" s="73" t="s">
        <v>69</v>
      </c>
      <c r="D27" s="72">
        <v>0</v>
      </c>
      <c r="E27" s="72">
        <f>1/3</f>
        <v>0.33333333333333331</v>
      </c>
      <c r="F27" s="72">
        <v>0</v>
      </c>
      <c r="G27" s="72">
        <v>0</v>
      </c>
      <c r="H27" s="72">
        <f>1/3</f>
        <v>0.33333333333333331</v>
      </c>
      <c r="I27" s="72">
        <v>0</v>
      </c>
      <c r="J27" s="72">
        <v>0</v>
      </c>
      <c r="K27" s="72">
        <v>0</v>
      </c>
      <c r="L27" s="72">
        <v>0</v>
      </c>
      <c r="N27" s="74" t="s">
        <v>210</v>
      </c>
    </row>
    <row r="28" spans="2:15" ht="16.05" customHeight="1">
      <c r="B28" s="73" t="s">
        <v>70</v>
      </c>
      <c r="D28" s="72">
        <v>0</v>
      </c>
      <c r="E28" s="72">
        <v>0</v>
      </c>
      <c r="F28" s="72">
        <v>0</v>
      </c>
      <c r="G28" s="72">
        <f>0.5</f>
        <v>0.5</v>
      </c>
      <c r="H28" s="72">
        <v>0.25</v>
      </c>
      <c r="I28" s="72">
        <v>0</v>
      </c>
      <c r="J28" s="72">
        <v>0</v>
      </c>
      <c r="K28" s="72">
        <v>0</v>
      </c>
      <c r="L28" s="72">
        <v>0</v>
      </c>
      <c r="N28" s="74" t="s">
        <v>209</v>
      </c>
    </row>
    <row r="29" spans="2:15" ht="16.05" customHeight="1">
      <c r="B29" s="73" t="s">
        <v>105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f>5/13</f>
        <v>0.38461538461538464</v>
      </c>
      <c r="J29" s="72">
        <v>0</v>
      </c>
      <c r="K29" s="72">
        <v>0</v>
      </c>
      <c r="L29" s="72">
        <f>3/13</f>
        <v>0.23076923076923078</v>
      </c>
      <c r="N29" s="74" t="s">
        <v>208</v>
      </c>
    </row>
    <row r="32" spans="2:15" ht="16.05" customHeight="1">
      <c r="B32" s="69" t="s">
        <v>199</v>
      </c>
      <c r="H32" s="69" t="s">
        <v>130</v>
      </c>
      <c r="N32" s="67" t="s">
        <v>207</v>
      </c>
    </row>
    <row r="33" spans="2:15" ht="16.05" customHeight="1">
      <c r="B33" s="73" t="s">
        <v>197</v>
      </c>
      <c r="D33" s="72">
        <f t="array" ref="D33:L41">MINVERSE(TRANSPOSE(D21:L29))</f>
        <v>0</v>
      </c>
      <c r="E33" s="72">
        <v>0</v>
      </c>
      <c r="F33" s="72">
        <v>-3</v>
      </c>
      <c r="G33" s="72">
        <v>0</v>
      </c>
      <c r="H33" s="72">
        <v>0</v>
      </c>
      <c r="I33" s="72">
        <v>6</v>
      </c>
      <c r="J33" s="72">
        <v>3</v>
      </c>
      <c r="K33" s="72">
        <v>3</v>
      </c>
      <c r="L33" s="72">
        <v>-10.000000000000002</v>
      </c>
      <c r="N33" s="91">
        <f>H6</f>
        <v>0.75178084015711333</v>
      </c>
      <c r="O33" s="70" t="s">
        <v>206</v>
      </c>
    </row>
    <row r="34" spans="2:15" ht="16.05" customHeight="1">
      <c r="B34" s="73" t="s">
        <v>195</v>
      </c>
      <c r="D34" s="72">
        <v>0</v>
      </c>
      <c r="E34" s="72">
        <v>-3</v>
      </c>
      <c r="F34" s="72">
        <v>1.5</v>
      </c>
      <c r="G34" s="72">
        <v>-1.5</v>
      </c>
      <c r="H34" s="72">
        <v>3</v>
      </c>
      <c r="I34" s="72">
        <v>-3</v>
      </c>
      <c r="J34" s="72">
        <v>-1.5</v>
      </c>
      <c r="K34" s="72">
        <v>-1.5</v>
      </c>
      <c r="L34" s="72">
        <v>5.0000000000000009</v>
      </c>
      <c r="N34" s="91">
        <f>H7</f>
        <v>1.6471000525670233E-2</v>
      </c>
      <c r="O34" s="70" t="s">
        <v>205</v>
      </c>
    </row>
    <row r="35" spans="2:15" ht="16.05" customHeight="1">
      <c r="B35" s="73" t="s">
        <v>52</v>
      </c>
      <c r="D35" s="72">
        <v>2</v>
      </c>
      <c r="E35" s="72">
        <v>2</v>
      </c>
      <c r="F35" s="72">
        <v>-1</v>
      </c>
      <c r="G35" s="72">
        <v>1</v>
      </c>
      <c r="H35" s="72">
        <v>-2</v>
      </c>
      <c r="I35" s="72">
        <v>-2</v>
      </c>
      <c r="J35" s="72">
        <v>-5</v>
      </c>
      <c r="K35" s="72">
        <v>-5</v>
      </c>
      <c r="L35" s="72">
        <v>3.3333333333333335</v>
      </c>
      <c r="N35" s="91">
        <f>H8</f>
        <v>0.33483390708211963</v>
      </c>
      <c r="O35" s="70" t="s">
        <v>204</v>
      </c>
    </row>
    <row r="36" spans="2:15" ht="16.05" customHeight="1">
      <c r="B36" s="73" t="s">
        <v>53</v>
      </c>
      <c r="D36" s="72">
        <v>0</v>
      </c>
      <c r="E36" s="72">
        <v>0</v>
      </c>
      <c r="F36" s="72">
        <v>4</v>
      </c>
      <c r="G36" s="72">
        <v>0</v>
      </c>
      <c r="H36" s="72">
        <v>0</v>
      </c>
      <c r="I36" s="72">
        <v>0</v>
      </c>
      <c r="J36" s="72">
        <v>-4</v>
      </c>
      <c r="K36" s="72">
        <v>-4</v>
      </c>
      <c r="L36" s="72">
        <v>0</v>
      </c>
      <c r="N36" s="91">
        <f>H9</f>
        <v>4.3834655678779644E-2</v>
      </c>
      <c r="O36" s="70" t="s">
        <v>125</v>
      </c>
    </row>
    <row r="37" spans="2:15" ht="16.05" customHeight="1">
      <c r="B37" s="73" t="s">
        <v>109</v>
      </c>
      <c r="C37" s="69" t="s">
        <v>63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  <c r="J37" s="72">
        <v>8</v>
      </c>
      <c r="K37" s="72">
        <v>0</v>
      </c>
      <c r="L37" s="72">
        <v>0</v>
      </c>
      <c r="M37" s="69" t="s">
        <v>59</v>
      </c>
      <c r="N37" s="91">
        <f>H10+H11+H12</f>
        <v>0.31412681314246305</v>
      </c>
      <c r="O37" s="70" t="s">
        <v>124</v>
      </c>
    </row>
    <row r="38" spans="2:15" ht="16.05" customHeight="1">
      <c r="B38" s="73" t="s">
        <v>107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72">
        <v>8</v>
      </c>
      <c r="L38" s="72">
        <v>0</v>
      </c>
      <c r="N38" s="91">
        <f>H13</f>
        <v>0.19597353733126482</v>
      </c>
      <c r="O38" s="70" t="s">
        <v>203</v>
      </c>
    </row>
    <row r="39" spans="2:15" ht="16.05" customHeight="1">
      <c r="B39" s="73" t="s">
        <v>69</v>
      </c>
      <c r="D39" s="72">
        <v>0</v>
      </c>
      <c r="E39" s="72">
        <v>3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N39" s="91">
        <f>H14</f>
        <v>7.4861651151159225E-2</v>
      </c>
      <c r="O39" s="70" t="s">
        <v>202</v>
      </c>
    </row>
    <row r="40" spans="2:15" ht="16.05" customHeight="1">
      <c r="B40" s="73" t="s">
        <v>70</v>
      </c>
      <c r="D40" s="72">
        <v>0</v>
      </c>
      <c r="E40" s="72">
        <v>0</v>
      </c>
      <c r="F40" s="72">
        <v>0</v>
      </c>
      <c r="G40" s="72">
        <v>2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N40" s="91">
        <f>H15</f>
        <v>8.438818565400844E-4</v>
      </c>
      <c r="O40" s="70" t="s">
        <v>201</v>
      </c>
    </row>
    <row r="41" spans="2:15" ht="16.05" customHeight="1">
      <c r="B41" s="73" t="s">
        <v>105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4.333333333333333</v>
      </c>
      <c r="N41" s="91">
        <f>H16</f>
        <v>1.4090162952734548E-4</v>
      </c>
      <c r="O41" s="70" t="s">
        <v>200</v>
      </c>
    </row>
    <row r="43" spans="2:15" ht="16.05" customHeight="1">
      <c r="C43" s="69" t="s">
        <v>199</v>
      </c>
      <c r="D43" s="56" t="s">
        <v>118</v>
      </c>
      <c r="H43" s="56" t="s">
        <v>118</v>
      </c>
    </row>
    <row r="44" spans="2:15" ht="16.05" customHeight="1">
      <c r="B44" s="65" t="s">
        <v>198</v>
      </c>
      <c r="C44" s="60">
        <f t="array" ref="C44:C52">MMULT(D33:L41,N33:N41)</f>
        <v>0.39704708546905459</v>
      </c>
      <c r="D44" s="64">
        <f t="array" ref="D44:D52">MMULT(C44:C52,100/C54)</f>
        <v>14.966894984815214</v>
      </c>
      <c r="E44" s="63" t="s">
        <v>197</v>
      </c>
      <c r="H44" s="62">
        <f>D44</f>
        <v>14.966894984815214</v>
      </c>
      <c r="I44" s="61" t="s">
        <v>197</v>
      </c>
    </row>
    <row r="45" spans="2:15" ht="16.05" customHeight="1">
      <c r="B45" s="65" t="s">
        <v>196</v>
      </c>
      <c r="C45" s="60">
        <v>0.62869191159768167</v>
      </c>
      <c r="D45" s="68">
        <v>23.698866363844907</v>
      </c>
      <c r="E45" s="63" t="s">
        <v>195</v>
      </c>
      <c r="H45" s="66">
        <f>D45+3*D46</f>
        <v>6.4244137082977524</v>
      </c>
      <c r="I45" s="61" t="s">
        <v>195</v>
      </c>
    </row>
    <row r="46" spans="2:15" ht="16.05" customHeight="1">
      <c r="B46" s="65" t="s">
        <v>52</v>
      </c>
      <c r="C46" s="60">
        <v>-0.1527542639253007</v>
      </c>
      <c r="D46" s="68">
        <v>-5.7581508851823848</v>
      </c>
      <c r="E46" s="63" t="s">
        <v>194</v>
      </c>
      <c r="G46" s="67" t="s">
        <v>193</v>
      </c>
      <c r="H46" s="66">
        <f>-2*D46</f>
        <v>11.51630177036477</v>
      </c>
      <c r="I46" s="61" t="s">
        <v>192</v>
      </c>
    </row>
    <row r="47" spans="2:15" ht="16.05" customHeight="1">
      <c r="B47" s="65" t="s">
        <v>53</v>
      </c>
      <c r="C47" s="60">
        <v>1.0365134962976812</v>
      </c>
      <c r="D47" s="64">
        <v>39.071911662830082</v>
      </c>
      <c r="E47" s="63" t="s">
        <v>191</v>
      </c>
      <c r="H47" s="62">
        <f>D47</f>
        <v>39.071911662830082</v>
      </c>
      <c r="I47" s="61" t="s">
        <v>191</v>
      </c>
    </row>
    <row r="48" spans="2:15" ht="16.05" customHeight="1">
      <c r="B48" s="65" t="s">
        <v>109</v>
      </c>
      <c r="C48" s="60">
        <v>0.5988932092092738</v>
      </c>
      <c r="D48" s="64">
        <v>22.57558888453994</v>
      </c>
      <c r="E48" s="63" t="s">
        <v>190</v>
      </c>
      <c r="H48" s="62">
        <f>D48</f>
        <v>22.57558888453994</v>
      </c>
      <c r="I48" s="61" t="s">
        <v>190</v>
      </c>
    </row>
    <row r="49" spans="2:9" ht="16.05" customHeight="1">
      <c r="B49" s="65" t="s">
        <v>107</v>
      </c>
      <c r="C49" s="60">
        <v>6.7510548523206752E-3</v>
      </c>
      <c r="D49" s="64">
        <v>0.25448449997320494</v>
      </c>
      <c r="E49" s="63" t="s">
        <v>189</v>
      </c>
      <c r="H49" s="62">
        <f>D49</f>
        <v>0.25448449997320494</v>
      </c>
      <c r="I49" s="61" t="s">
        <v>189</v>
      </c>
    </row>
    <row r="50" spans="2:9" ht="16.05" customHeight="1">
      <c r="B50" s="65" t="s">
        <v>69</v>
      </c>
      <c r="C50" s="60">
        <v>4.9413001577010701E-2</v>
      </c>
      <c r="D50" s="64">
        <v>1.8626486191529243</v>
      </c>
      <c r="E50" s="63" t="s">
        <v>69</v>
      </c>
      <c r="H50" s="62">
        <f>D50</f>
        <v>1.8626486191529243</v>
      </c>
      <c r="I50" s="61" t="s">
        <v>69</v>
      </c>
    </row>
    <row r="51" spans="2:9" ht="16.05" customHeight="1">
      <c r="B51" s="65" t="s">
        <v>70</v>
      </c>
      <c r="C51" s="60">
        <v>8.7669311357559288E-2</v>
      </c>
      <c r="D51" s="64">
        <v>3.3047399779538846</v>
      </c>
      <c r="E51" s="63" t="s">
        <v>70</v>
      </c>
      <c r="H51" s="62">
        <f>D51</f>
        <v>3.3047399779538846</v>
      </c>
      <c r="I51" s="61" t="s">
        <v>70</v>
      </c>
    </row>
    <row r="52" spans="2:9" ht="16.05" customHeight="1">
      <c r="B52" s="65" t="s">
        <v>105</v>
      </c>
      <c r="C52" s="60">
        <v>6.1057372795183032E-4</v>
      </c>
      <c r="D52" s="64">
        <v>2.3015892072212212E-2</v>
      </c>
      <c r="E52" s="63" t="s">
        <v>188</v>
      </c>
      <c r="H52" s="62">
        <f>D52</f>
        <v>2.3015892072212212E-2</v>
      </c>
      <c r="I52" s="61" t="s">
        <v>188</v>
      </c>
    </row>
    <row r="54" spans="2:9" ht="16.05" customHeight="1">
      <c r="B54" s="59" t="s">
        <v>187</v>
      </c>
      <c r="C54" s="60">
        <f>SUM(C44:C52)</f>
        <v>2.6528353801632334</v>
      </c>
      <c r="D54" s="58">
        <f>SUM(D44:D52)</f>
        <v>99.999999999999972</v>
      </c>
      <c r="H54" s="58">
        <f>SUM(H44:H52)</f>
        <v>99.999999999999972</v>
      </c>
    </row>
    <row r="56" spans="2:9" ht="16.05" customHeight="1">
      <c r="B56" s="59" t="s">
        <v>103</v>
      </c>
      <c r="D56" s="58">
        <f>D44+D45</f>
        <v>38.665761348660119</v>
      </c>
      <c r="H56" s="58">
        <f>H44+H45</f>
        <v>21.391308693112968</v>
      </c>
    </row>
    <row r="57" spans="2:9" ht="16.05" customHeight="1">
      <c r="B57" s="59" t="s">
        <v>102</v>
      </c>
      <c r="D57" s="58">
        <f>D47+D48+D49</f>
        <v>61.901985047343224</v>
      </c>
      <c r="H57" s="58">
        <f>H47+H48+H49</f>
        <v>61.901985047343224</v>
      </c>
    </row>
    <row r="59" spans="2:9" ht="16.05" customHeight="1">
      <c r="D59" s="57" t="s">
        <v>101</v>
      </c>
    </row>
    <row r="60" spans="2:9" ht="16.05" customHeight="1">
      <c r="D60" s="57" t="s">
        <v>100</v>
      </c>
    </row>
    <row r="61" spans="2:9" ht="16.05" customHeight="1">
      <c r="D61" s="57" t="s">
        <v>99</v>
      </c>
    </row>
  </sheetData>
  <pageMargins left="0.75" right="0.75" top="1" bottom="1" header="0.5" footer="0.5"/>
  <pageSetup scale="54" orientation="landscape" horizontalDpi="4294967292" verticalDpi="4294967292"/>
  <rowBreaks count="2" manualBreakCount="2">
    <brk id="72" max="16383" man="1"/>
    <brk id="115" max="16383" man="1"/>
  </rowBreaks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6C83-5367-4565-8790-F9CA0B872E39}">
  <dimension ref="B1:O61"/>
  <sheetViews>
    <sheetView topLeftCell="A28" workbookViewId="0">
      <selection activeCell="H43" sqref="H43"/>
    </sheetView>
  </sheetViews>
  <sheetFormatPr defaultColWidth="10.1328125" defaultRowHeight="16.05" customHeight="1"/>
  <cols>
    <col min="1" max="1" width="5.1328125" style="56" customWidth="1"/>
    <col min="2" max="16384" width="10.1328125" style="56"/>
  </cols>
  <sheetData>
    <row r="1" spans="2:12" ht="16.05" customHeight="1">
      <c r="B1" s="56" t="s">
        <v>244</v>
      </c>
    </row>
    <row r="2" spans="2:12" ht="16.05" customHeight="1">
      <c r="B2" s="83" t="s">
        <v>243</v>
      </c>
    </row>
    <row r="4" spans="2:12" ht="16.05" customHeight="1">
      <c r="E4" s="67" t="s">
        <v>242</v>
      </c>
    </row>
    <row r="5" spans="2:12" ht="16.05" customHeight="1">
      <c r="E5" s="69" t="s">
        <v>241</v>
      </c>
      <c r="F5" s="56" t="s">
        <v>240</v>
      </c>
      <c r="G5" s="56" t="s">
        <v>239</v>
      </c>
      <c r="H5" s="56" t="s">
        <v>238</v>
      </c>
      <c r="K5" s="69" t="s">
        <v>237</v>
      </c>
    </row>
    <row r="6" spans="2:12" ht="16.05" customHeight="1">
      <c r="D6" s="56" t="s">
        <v>236</v>
      </c>
      <c r="E6" s="93">
        <v>51.62</v>
      </c>
      <c r="F6" s="56">
        <v>60.084000000000003</v>
      </c>
      <c r="G6" s="92">
        <f>E6/F6</f>
        <v>0.85913055056254573</v>
      </c>
      <c r="H6" s="92">
        <f>1*G6</f>
        <v>0.85913055056254573</v>
      </c>
      <c r="J6" s="56" t="s">
        <v>235</v>
      </c>
    </row>
    <row r="7" spans="2:12" ht="16.05" customHeight="1">
      <c r="D7" s="56" t="s">
        <v>234</v>
      </c>
      <c r="E7" s="93">
        <v>1.4039999999999999</v>
      </c>
      <c r="F7" s="56">
        <v>79.897999999999996</v>
      </c>
      <c r="G7" s="92">
        <f>E7/F7</f>
        <v>1.7572404816140579E-2</v>
      </c>
      <c r="H7" s="92">
        <f>1*G7</f>
        <v>1.7572404816140579E-2</v>
      </c>
      <c r="K7" s="75" t="s">
        <v>233</v>
      </c>
    </row>
    <row r="8" spans="2:12" ht="16.05" customHeight="1">
      <c r="D8" s="56" t="s">
        <v>232</v>
      </c>
      <c r="E8" s="93">
        <v>15.01</v>
      </c>
      <c r="F8" s="56">
        <v>101.961</v>
      </c>
      <c r="G8" s="92">
        <f>E8/F8</f>
        <v>0.14721315012602859</v>
      </c>
      <c r="H8" s="92">
        <f>2*G8</f>
        <v>0.29442630025205718</v>
      </c>
      <c r="J8" s="56" t="s">
        <v>231</v>
      </c>
      <c r="K8" s="93">
        <v>10.851588000000001</v>
      </c>
      <c r="L8" s="56" t="s">
        <v>230</v>
      </c>
    </row>
    <row r="9" spans="2:12" ht="16.05" customHeight="1">
      <c r="D9" s="56" t="s">
        <v>223</v>
      </c>
      <c r="E9" s="95">
        <v>3.5</v>
      </c>
      <c r="F9" s="56">
        <v>159.691</v>
      </c>
      <c r="G9" s="92">
        <f>E9/F9</f>
        <v>2.1917327839389822E-2</v>
      </c>
      <c r="H9" s="92">
        <f>2*G9</f>
        <v>4.3834655678779644E-2</v>
      </c>
      <c r="J9" s="56" t="s">
        <v>223</v>
      </c>
      <c r="K9" s="93">
        <v>3.5</v>
      </c>
      <c r="L9" s="56" t="s">
        <v>222</v>
      </c>
    </row>
    <row r="10" spans="2:12" ht="16.05" customHeight="1">
      <c r="D10" s="56" t="s">
        <v>229</v>
      </c>
      <c r="E10" s="95">
        <v>7.7023972256000004</v>
      </c>
      <c r="F10" s="56">
        <v>71.846000000000004</v>
      </c>
      <c r="G10" s="92">
        <f>E10/F10</f>
        <v>0.10720704319795117</v>
      </c>
      <c r="H10" s="92">
        <f>1*G10</f>
        <v>0.10720704319795117</v>
      </c>
      <c r="J10" s="56" t="s">
        <v>229</v>
      </c>
      <c r="K10" s="94">
        <f>K8-K9*0.8998</f>
        <v>7.7022880000000011</v>
      </c>
    </row>
    <row r="11" spans="2:12" ht="16.05" customHeight="1">
      <c r="D11" s="56" t="s">
        <v>228</v>
      </c>
      <c r="E11" s="93">
        <v>0.184</v>
      </c>
      <c r="F11" s="56">
        <v>70.936999999999998</v>
      </c>
      <c r="G11" s="92">
        <f>E11/F11</f>
        <v>2.5938508817683298E-3</v>
      </c>
      <c r="H11" s="92">
        <f>1*G11</f>
        <v>2.5938508817683298E-3</v>
      </c>
    </row>
    <row r="12" spans="2:12" ht="16.05" customHeight="1">
      <c r="D12" s="56" t="s">
        <v>227</v>
      </c>
      <c r="E12" s="93">
        <v>6.56</v>
      </c>
      <c r="F12" s="56">
        <v>40.311</v>
      </c>
      <c r="G12" s="92">
        <f>E12/F12</f>
        <v>0.16273473741658603</v>
      </c>
      <c r="H12" s="92">
        <f>1*G12</f>
        <v>0.16273473741658603</v>
      </c>
      <c r="J12" s="56" t="s">
        <v>226</v>
      </c>
      <c r="K12" s="93">
        <v>12.06</v>
      </c>
      <c r="L12" s="56" t="s">
        <v>225</v>
      </c>
    </row>
    <row r="13" spans="2:12" ht="16.05" customHeight="1">
      <c r="D13" s="56" t="s">
        <v>224</v>
      </c>
      <c r="E13" s="93">
        <v>10.54</v>
      </c>
      <c r="F13" s="56">
        <v>56.079000000000001</v>
      </c>
      <c r="G13" s="92">
        <f>E13/F13</f>
        <v>0.18794914317302375</v>
      </c>
      <c r="H13" s="92">
        <f>1*G13</f>
        <v>0.18794914317302375</v>
      </c>
      <c r="J13" s="56" t="s">
        <v>223</v>
      </c>
      <c r="K13" s="93">
        <v>3.5</v>
      </c>
      <c r="L13" s="56" t="s">
        <v>222</v>
      </c>
    </row>
    <row r="14" spans="2:12" ht="16.05" customHeight="1">
      <c r="D14" s="56" t="s">
        <v>221</v>
      </c>
      <c r="E14" s="93">
        <v>2.78</v>
      </c>
      <c r="F14" s="56">
        <v>61.981000000000002</v>
      </c>
      <c r="G14" s="92">
        <f>E14/F14</f>
        <v>4.4852454784530739E-2</v>
      </c>
      <c r="H14" s="92">
        <f>2*G14</f>
        <v>8.9704909569061478E-2</v>
      </c>
      <c r="J14" s="56" t="s">
        <v>220</v>
      </c>
      <c r="K14" s="94">
        <f>0.8998*(K12-K13)</f>
        <v>7.7022880000000011</v>
      </c>
    </row>
    <row r="15" spans="2:12" ht="16.05" customHeight="1">
      <c r="D15" s="56" t="s">
        <v>219</v>
      </c>
      <c r="E15" s="93">
        <v>0.06</v>
      </c>
      <c r="F15" s="56">
        <v>71.099999999999994</v>
      </c>
      <c r="G15" s="92">
        <f>E15/F15</f>
        <v>8.438818565400844E-4</v>
      </c>
      <c r="H15" s="92">
        <f>2*G15</f>
        <v>1.6877637130801688E-3</v>
      </c>
      <c r="J15" s="75"/>
    </row>
    <row r="16" spans="2:12" ht="16.05" customHeight="1">
      <c r="D16" s="56" t="s">
        <v>218</v>
      </c>
      <c r="E16" s="93">
        <v>0.11</v>
      </c>
      <c r="F16" s="56">
        <v>141.94300000000001</v>
      </c>
      <c r="G16" s="92">
        <f>E16/F16</f>
        <v>7.7495896240040011E-4</v>
      </c>
      <c r="H16" s="92">
        <f>2*G16</f>
        <v>1.5499179248008002E-3</v>
      </c>
      <c r="J16" s="75"/>
    </row>
    <row r="17" spans="2:15" ht="16.05" customHeight="1">
      <c r="E17" s="56">
        <f>SUM(E6:E16)</f>
        <v>99.470397225599996</v>
      </c>
      <c r="H17" s="92">
        <f>SUM(H6:H16)</f>
        <v>1.7683912771857946</v>
      </c>
      <c r="J17" s="75"/>
    </row>
    <row r="19" spans="2:15" ht="16.05" customHeight="1">
      <c r="B19" s="69" t="s">
        <v>144</v>
      </c>
      <c r="H19" s="69" t="s">
        <v>49</v>
      </c>
    </row>
    <row r="20" spans="2:15" ht="16.05" customHeight="1">
      <c r="B20" s="69" t="s">
        <v>217</v>
      </c>
      <c r="D20" s="69" t="s">
        <v>215</v>
      </c>
      <c r="E20" s="69" t="s">
        <v>214</v>
      </c>
      <c r="F20" s="69" t="s">
        <v>213</v>
      </c>
      <c r="G20" s="69" t="s">
        <v>138</v>
      </c>
      <c r="H20" s="69" t="s">
        <v>212</v>
      </c>
      <c r="I20" s="69" t="s">
        <v>211</v>
      </c>
      <c r="J20" s="69" t="s">
        <v>210</v>
      </c>
      <c r="K20" s="69" t="s">
        <v>209</v>
      </c>
      <c r="L20" s="69" t="s">
        <v>208</v>
      </c>
      <c r="N20" s="69" t="s">
        <v>216</v>
      </c>
    </row>
    <row r="21" spans="2:15" ht="16.05" customHeight="1">
      <c r="B21" s="73" t="s">
        <v>197</v>
      </c>
      <c r="D21" s="72">
        <f>1/3</f>
        <v>0.33333333333333331</v>
      </c>
      <c r="E21" s="72">
        <v>0</v>
      </c>
      <c r="F21" s="72">
        <v>0</v>
      </c>
      <c r="G21" s="72">
        <v>0</v>
      </c>
      <c r="H21" s="72">
        <f>1/6</f>
        <v>0.16666666666666666</v>
      </c>
      <c r="I21" s="72">
        <f>1/6</f>
        <v>0.16666666666666666</v>
      </c>
      <c r="J21" s="72">
        <v>0</v>
      </c>
      <c r="K21" s="72">
        <v>0</v>
      </c>
      <c r="L21" s="72">
        <v>0</v>
      </c>
      <c r="N21" s="74" t="s">
        <v>215</v>
      </c>
    </row>
    <row r="22" spans="2:15" ht="16.05" customHeight="1">
      <c r="B22" s="73" t="s">
        <v>195</v>
      </c>
      <c r="D22" s="72">
        <f>1/3</f>
        <v>0.33333333333333331</v>
      </c>
      <c r="E22" s="72">
        <v>0</v>
      </c>
      <c r="F22" s="72">
        <v>0</v>
      </c>
      <c r="G22" s="72">
        <v>0</v>
      </c>
      <c r="H22" s="72">
        <f>1/3</f>
        <v>0.33333333333333331</v>
      </c>
      <c r="I22" s="72">
        <v>0</v>
      </c>
      <c r="J22" s="72">
        <v>0</v>
      </c>
      <c r="K22" s="72">
        <v>0</v>
      </c>
      <c r="L22" s="72">
        <v>0</v>
      </c>
      <c r="N22" s="74" t="s">
        <v>214</v>
      </c>
    </row>
    <row r="23" spans="2:15" ht="16.05" customHeight="1">
      <c r="B23" s="73" t="s">
        <v>52</v>
      </c>
      <c r="D23" s="72">
        <v>0.5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0</v>
      </c>
      <c r="N23" s="74" t="s">
        <v>213</v>
      </c>
    </row>
    <row r="24" spans="2:15" ht="16.05" customHeight="1">
      <c r="B24" s="73" t="s">
        <v>53</v>
      </c>
      <c r="D24" s="72">
        <v>0.25</v>
      </c>
      <c r="E24" s="72">
        <v>0</v>
      </c>
      <c r="F24" s="72">
        <v>0.25</v>
      </c>
      <c r="G24" s="72">
        <v>0</v>
      </c>
      <c r="H24" s="72">
        <v>0</v>
      </c>
      <c r="I24" s="72">
        <v>0.125</v>
      </c>
      <c r="J24" s="72">
        <v>0</v>
      </c>
      <c r="K24" s="72">
        <v>0</v>
      </c>
      <c r="L24" s="72">
        <v>0</v>
      </c>
      <c r="N24" s="74" t="s">
        <v>138</v>
      </c>
    </row>
    <row r="25" spans="2:15" ht="16.05" customHeight="1">
      <c r="B25" s="73" t="s">
        <v>109</v>
      </c>
      <c r="C25" s="69" t="s">
        <v>137</v>
      </c>
      <c r="D25" s="72">
        <v>0.375</v>
      </c>
      <c r="E25" s="72">
        <v>0</v>
      </c>
      <c r="F25" s="72">
        <v>0.125</v>
      </c>
      <c r="G25" s="72">
        <v>0</v>
      </c>
      <c r="H25" s="72">
        <v>0</v>
      </c>
      <c r="I25" s="72">
        <v>0</v>
      </c>
      <c r="J25" s="72">
        <v>0.125</v>
      </c>
      <c r="K25" s="72">
        <v>0</v>
      </c>
      <c r="L25" s="72">
        <v>0</v>
      </c>
      <c r="M25" s="69" t="s">
        <v>59</v>
      </c>
      <c r="N25" s="74" t="s">
        <v>212</v>
      </c>
      <c r="O25" s="56" t="s">
        <v>135</v>
      </c>
    </row>
    <row r="26" spans="2:15" ht="16.05" customHeight="1">
      <c r="B26" s="73" t="s">
        <v>107</v>
      </c>
      <c r="D26" s="72">
        <v>0.375</v>
      </c>
      <c r="E26" s="72">
        <v>0</v>
      </c>
      <c r="F26" s="72">
        <v>0.125</v>
      </c>
      <c r="G26" s="72">
        <v>0</v>
      </c>
      <c r="H26" s="72">
        <v>0</v>
      </c>
      <c r="I26" s="72">
        <v>0</v>
      </c>
      <c r="J26" s="72">
        <v>0</v>
      </c>
      <c r="K26" s="72">
        <v>0.125</v>
      </c>
      <c r="L26" s="72">
        <v>0</v>
      </c>
      <c r="N26" s="74" t="s">
        <v>211</v>
      </c>
    </row>
    <row r="27" spans="2:15" ht="16.05" customHeight="1">
      <c r="B27" s="73" t="s">
        <v>69</v>
      </c>
      <c r="D27" s="72">
        <v>0</v>
      </c>
      <c r="E27" s="72">
        <f>1/3</f>
        <v>0.33333333333333331</v>
      </c>
      <c r="F27" s="72">
        <v>0</v>
      </c>
      <c r="G27" s="72">
        <v>0</v>
      </c>
      <c r="H27" s="72">
        <f>1/3</f>
        <v>0.33333333333333331</v>
      </c>
      <c r="I27" s="72">
        <v>0</v>
      </c>
      <c r="J27" s="72">
        <v>0</v>
      </c>
      <c r="K27" s="72">
        <v>0</v>
      </c>
      <c r="L27" s="72">
        <v>0</v>
      </c>
      <c r="N27" s="74" t="s">
        <v>210</v>
      </c>
    </row>
    <row r="28" spans="2:15" ht="16.05" customHeight="1">
      <c r="B28" s="73" t="s">
        <v>70</v>
      </c>
      <c r="D28" s="72">
        <v>0</v>
      </c>
      <c r="E28" s="72">
        <v>0</v>
      </c>
      <c r="F28" s="72">
        <v>0</v>
      </c>
      <c r="G28" s="72">
        <f>0.5</f>
        <v>0.5</v>
      </c>
      <c r="H28" s="72">
        <v>0.25</v>
      </c>
      <c r="I28" s="72">
        <v>0</v>
      </c>
      <c r="J28" s="72">
        <v>0</v>
      </c>
      <c r="K28" s="72">
        <v>0</v>
      </c>
      <c r="L28" s="72">
        <v>0</v>
      </c>
      <c r="N28" s="74" t="s">
        <v>209</v>
      </c>
    </row>
    <row r="29" spans="2:15" ht="16.05" customHeight="1">
      <c r="B29" s="73" t="s">
        <v>105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f>5/13</f>
        <v>0.38461538461538464</v>
      </c>
      <c r="J29" s="72">
        <v>0</v>
      </c>
      <c r="K29" s="72">
        <v>0</v>
      </c>
      <c r="L29" s="72">
        <f>3/13</f>
        <v>0.23076923076923078</v>
      </c>
      <c r="N29" s="74" t="s">
        <v>208</v>
      </c>
    </row>
    <row r="32" spans="2:15" ht="16.05" customHeight="1">
      <c r="B32" s="69" t="s">
        <v>199</v>
      </c>
      <c r="H32" s="69" t="s">
        <v>130</v>
      </c>
      <c r="N32" s="67" t="s">
        <v>207</v>
      </c>
    </row>
    <row r="33" spans="2:15" ht="16.05" customHeight="1">
      <c r="B33" s="73" t="s">
        <v>197</v>
      </c>
      <c r="D33" s="72">
        <f t="array" ref="D33:L41">MINVERSE(TRANSPOSE(D21:L29))</f>
        <v>0</v>
      </c>
      <c r="E33" s="72">
        <v>0</v>
      </c>
      <c r="F33" s="72">
        <v>-3</v>
      </c>
      <c r="G33" s="72">
        <v>0</v>
      </c>
      <c r="H33" s="72">
        <v>0</v>
      </c>
      <c r="I33" s="72">
        <v>6</v>
      </c>
      <c r="J33" s="72">
        <v>3</v>
      </c>
      <c r="K33" s="72">
        <v>3</v>
      </c>
      <c r="L33" s="72">
        <v>-10.000000000000002</v>
      </c>
      <c r="N33" s="91">
        <f>H6</f>
        <v>0.85913055056254573</v>
      </c>
      <c r="O33" s="70" t="s">
        <v>206</v>
      </c>
    </row>
    <row r="34" spans="2:15" ht="16.05" customHeight="1">
      <c r="B34" s="73" t="s">
        <v>195</v>
      </c>
      <c r="D34" s="72">
        <v>0</v>
      </c>
      <c r="E34" s="72">
        <v>-3</v>
      </c>
      <c r="F34" s="72">
        <v>1.5</v>
      </c>
      <c r="G34" s="72">
        <v>-1.5</v>
      </c>
      <c r="H34" s="72">
        <v>3</v>
      </c>
      <c r="I34" s="72">
        <v>-3</v>
      </c>
      <c r="J34" s="72">
        <v>-1.5</v>
      </c>
      <c r="K34" s="72">
        <v>-1.5</v>
      </c>
      <c r="L34" s="72">
        <v>5.0000000000000009</v>
      </c>
      <c r="N34" s="91">
        <f>H7</f>
        <v>1.7572404816140579E-2</v>
      </c>
      <c r="O34" s="70" t="s">
        <v>205</v>
      </c>
    </row>
    <row r="35" spans="2:15" ht="16.05" customHeight="1">
      <c r="B35" s="73" t="s">
        <v>52</v>
      </c>
      <c r="D35" s="72">
        <v>2</v>
      </c>
      <c r="E35" s="72">
        <v>2</v>
      </c>
      <c r="F35" s="72">
        <v>-1</v>
      </c>
      <c r="G35" s="72">
        <v>1</v>
      </c>
      <c r="H35" s="72">
        <v>-2</v>
      </c>
      <c r="I35" s="72">
        <v>-2</v>
      </c>
      <c r="J35" s="72">
        <v>-5</v>
      </c>
      <c r="K35" s="72">
        <v>-5</v>
      </c>
      <c r="L35" s="72">
        <v>3.3333333333333335</v>
      </c>
      <c r="N35" s="91">
        <f>H8</f>
        <v>0.29442630025205718</v>
      </c>
      <c r="O35" s="70" t="s">
        <v>204</v>
      </c>
    </row>
    <row r="36" spans="2:15" ht="16.05" customHeight="1">
      <c r="B36" s="73" t="s">
        <v>53</v>
      </c>
      <c r="D36" s="72">
        <v>0</v>
      </c>
      <c r="E36" s="72">
        <v>0</v>
      </c>
      <c r="F36" s="72">
        <v>4</v>
      </c>
      <c r="G36" s="72">
        <v>0</v>
      </c>
      <c r="H36" s="72">
        <v>0</v>
      </c>
      <c r="I36" s="72">
        <v>0</v>
      </c>
      <c r="J36" s="72">
        <v>-4</v>
      </c>
      <c r="K36" s="72">
        <v>-4</v>
      </c>
      <c r="L36" s="72">
        <v>0</v>
      </c>
      <c r="N36" s="91">
        <f>H9</f>
        <v>4.3834655678779644E-2</v>
      </c>
      <c r="O36" s="70" t="s">
        <v>125</v>
      </c>
    </row>
    <row r="37" spans="2:15" ht="16.05" customHeight="1">
      <c r="B37" s="73" t="s">
        <v>109</v>
      </c>
      <c r="C37" s="69" t="s">
        <v>63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  <c r="J37" s="72">
        <v>8</v>
      </c>
      <c r="K37" s="72">
        <v>0</v>
      </c>
      <c r="L37" s="72">
        <v>0</v>
      </c>
      <c r="M37" s="69" t="s">
        <v>59</v>
      </c>
      <c r="N37" s="91">
        <f>H10+H11+H12</f>
        <v>0.27253563149630555</v>
      </c>
      <c r="O37" s="70" t="s">
        <v>124</v>
      </c>
    </row>
    <row r="38" spans="2:15" ht="16.05" customHeight="1">
      <c r="B38" s="73" t="s">
        <v>107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0</v>
      </c>
      <c r="K38" s="72">
        <v>8</v>
      </c>
      <c r="L38" s="72">
        <v>0</v>
      </c>
      <c r="N38" s="91">
        <f>H13</f>
        <v>0.18794914317302375</v>
      </c>
      <c r="O38" s="70" t="s">
        <v>203</v>
      </c>
    </row>
    <row r="39" spans="2:15" ht="16.05" customHeight="1">
      <c r="B39" s="73" t="s">
        <v>69</v>
      </c>
      <c r="D39" s="72">
        <v>0</v>
      </c>
      <c r="E39" s="72">
        <v>3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N39" s="91">
        <f>H14</f>
        <v>8.9704909569061478E-2</v>
      </c>
      <c r="O39" s="70" t="s">
        <v>202</v>
      </c>
    </row>
    <row r="40" spans="2:15" ht="16.05" customHeight="1">
      <c r="B40" s="73" t="s">
        <v>70</v>
      </c>
      <c r="D40" s="72">
        <v>0</v>
      </c>
      <c r="E40" s="72">
        <v>0</v>
      </c>
      <c r="F40" s="72">
        <v>0</v>
      </c>
      <c r="G40" s="72">
        <v>2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N40" s="91">
        <f>H15</f>
        <v>1.6877637130801688E-3</v>
      </c>
      <c r="O40" s="70" t="s">
        <v>201</v>
      </c>
    </row>
    <row r="41" spans="2:15" ht="16.05" customHeight="1">
      <c r="B41" s="73" t="s">
        <v>105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4.333333333333333</v>
      </c>
      <c r="N41" s="91">
        <f>H16</f>
        <v>1.5499179248008002E-3</v>
      </c>
      <c r="O41" s="70" t="s">
        <v>200</v>
      </c>
    </row>
    <row r="43" spans="2:15" ht="16.05" customHeight="1">
      <c r="C43" s="69" t="s">
        <v>199</v>
      </c>
      <c r="D43" s="56" t="s">
        <v>118</v>
      </c>
      <c r="H43" s="56" t="s">
        <v>118</v>
      </c>
    </row>
    <row r="44" spans="2:15" ht="16.05" customHeight="1">
      <c r="B44" s="65" t="s">
        <v>198</v>
      </c>
      <c r="C44" s="60">
        <f t="array" ref="C44:C52">MMULT(D33:L41,N33:N41)</f>
        <v>0.50309479888038777</v>
      </c>
      <c r="D44" s="64">
        <f t="array" ref="D44:D52">MMULT(C44:C52,100/C54)</f>
        <v>18.154981713792626</v>
      </c>
      <c r="E44" s="63" t="s">
        <v>197</v>
      </c>
      <c r="H44" s="62">
        <f>D44</f>
        <v>18.154981713792626</v>
      </c>
      <c r="I44" s="61" t="s">
        <v>197</v>
      </c>
    </row>
    <row r="45" spans="2:15" ht="16.05" customHeight="1">
      <c r="B45" s="65" t="s">
        <v>196</v>
      </c>
      <c r="C45" s="60">
        <v>0.44759029708213166</v>
      </c>
      <c r="D45" s="68">
        <v>16.152012854994922</v>
      </c>
      <c r="E45" s="63" t="s">
        <v>195</v>
      </c>
      <c r="H45" s="66">
        <f>D45+3*D46</f>
        <v>30.230956291098806</v>
      </c>
      <c r="I45" s="61" t="s">
        <v>195</v>
      </c>
    </row>
    <row r="46" spans="2:15" ht="16.05" customHeight="1">
      <c r="B46" s="65" t="s">
        <v>52</v>
      </c>
      <c r="C46" s="60">
        <v>0.13004774351739759</v>
      </c>
      <c r="D46" s="68">
        <v>4.6929811453679617</v>
      </c>
      <c r="E46" s="63" t="s">
        <v>194</v>
      </c>
      <c r="G46" s="67" t="s">
        <v>193</v>
      </c>
      <c r="H46" s="66">
        <f>-2*D46</f>
        <v>-9.3859622907359235</v>
      </c>
      <c r="I46" s="61" t="s">
        <v>192</v>
      </c>
    </row>
    <row r="47" spans="2:15" ht="16.05" customHeight="1">
      <c r="B47" s="65" t="s">
        <v>53</v>
      </c>
      <c r="C47" s="60">
        <v>0.81213450787966224</v>
      </c>
      <c r="D47" s="64">
        <v>29.307174656760338</v>
      </c>
      <c r="E47" s="63" t="s">
        <v>191</v>
      </c>
      <c r="H47" s="62">
        <f>D47</f>
        <v>29.307174656760338</v>
      </c>
      <c r="I47" s="61" t="s">
        <v>191</v>
      </c>
    </row>
    <row r="48" spans="2:15" ht="16.05" customHeight="1">
      <c r="B48" s="65" t="s">
        <v>109</v>
      </c>
      <c r="C48" s="60">
        <v>0.71763927655249182</v>
      </c>
      <c r="D48" s="64">
        <v>25.897162864542899</v>
      </c>
      <c r="E48" s="63" t="s">
        <v>190</v>
      </c>
      <c r="H48" s="62">
        <f>D48</f>
        <v>25.897162864542899</v>
      </c>
      <c r="I48" s="61" t="s">
        <v>190</v>
      </c>
    </row>
    <row r="49" spans="2:9" ht="16.05" customHeight="1">
      <c r="B49" s="65" t="s">
        <v>107</v>
      </c>
      <c r="C49" s="60">
        <v>1.350210970464135E-2</v>
      </c>
      <c r="D49" s="64">
        <v>0.48724525741651753</v>
      </c>
      <c r="E49" s="63" t="s">
        <v>189</v>
      </c>
      <c r="H49" s="62">
        <f>D49</f>
        <v>0.48724525741651753</v>
      </c>
      <c r="I49" s="61" t="s">
        <v>189</v>
      </c>
    </row>
    <row r="50" spans="2:9" ht="16.05" customHeight="1">
      <c r="B50" s="65" t="s">
        <v>69</v>
      </c>
      <c r="C50" s="60">
        <v>5.2717214448421736E-2</v>
      </c>
      <c r="D50" s="64">
        <v>1.9023851298862851</v>
      </c>
      <c r="E50" s="63" t="s">
        <v>69</v>
      </c>
      <c r="H50" s="62">
        <f>D50</f>
        <v>1.9023851298862851</v>
      </c>
      <c r="I50" s="61" t="s">
        <v>69</v>
      </c>
    </row>
    <row r="51" spans="2:9" ht="16.05" customHeight="1">
      <c r="B51" s="65" t="s">
        <v>70</v>
      </c>
      <c r="C51" s="60">
        <v>8.7669311357559288E-2</v>
      </c>
      <c r="D51" s="64">
        <v>3.1636875358270133</v>
      </c>
      <c r="E51" s="63" t="s">
        <v>70</v>
      </c>
      <c r="H51" s="62">
        <f>D51</f>
        <v>3.1636875358270133</v>
      </c>
      <c r="I51" s="61" t="s">
        <v>70</v>
      </c>
    </row>
    <row r="52" spans="2:9" ht="16.05" customHeight="1">
      <c r="B52" s="65" t="s">
        <v>105</v>
      </c>
      <c r="C52" s="60">
        <v>6.7163110074701339E-3</v>
      </c>
      <c r="D52" s="64">
        <v>0.24236884141144674</v>
      </c>
      <c r="E52" s="63" t="s">
        <v>188</v>
      </c>
      <c r="H52" s="62">
        <f>D52</f>
        <v>0.24236884141144674</v>
      </c>
      <c r="I52" s="61" t="s">
        <v>188</v>
      </c>
    </row>
    <row r="54" spans="2:9" ht="16.05" customHeight="1">
      <c r="B54" s="59" t="s">
        <v>187</v>
      </c>
      <c r="C54" s="60">
        <f>SUM(C44:C52)</f>
        <v>2.7711115704301634</v>
      </c>
      <c r="D54" s="58">
        <f>SUM(D44:D52)</f>
        <v>100.00000000000001</v>
      </c>
      <c r="H54" s="58">
        <f>SUM(H44:H52)</f>
        <v>100.00000000000001</v>
      </c>
    </row>
    <row r="56" spans="2:9" ht="16.05" customHeight="1">
      <c r="B56" s="59" t="s">
        <v>103</v>
      </c>
      <c r="D56" s="58">
        <f>D44+D45</f>
        <v>34.306994568787545</v>
      </c>
      <c r="H56" s="58">
        <f>H44+H45</f>
        <v>48.385938004891429</v>
      </c>
    </row>
    <row r="57" spans="2:9" ht="16.05" customHeight="1">
      <c r="B57" s="59" t="s">
        <v>102</v>
      </c>
      <c r="D57" s="58">
        <f>D47+D48+D49</f>
        <v>55.691582778719756</v>
      </c>
      <c r="H57" s="58">
        <f>H47+H48+H49</f>
        <v>55.691582778719756</v>
      </c>
    </row>
    <row r="59" spans="2:9" ht="16.05" customHeight="1">
      <c r="D59" s="57" t="s">
        <v>101</v>
      </c>
    </row>
    <row r="60" spans="2:9" ht="16.05" customHeight="1">
      <c r="D60" s="57" t="s">
        <v>100</v>
      </c>
    </row>
    <row r="61" spans="2:9" ht="16.05" customHeight="1">
      <c r="D61" s="57" t="s">
        <v>99</v>
      </c>
    </row>
  </sheetData>
  <pageMargins left="0.75" right="0.75" top="1" bottom="1" header="0.5" footer="0.5"/>
  <pageSetup scale="54" orientation="landscape" horizontalDpi="4294967292" verticalDpi="4294967292"/>
  <rowBreaks count="2" manualBreakCount="2">
    <brk id="72" max="16383" man="1"/>
    <brk id="115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Qz-basalt-polyhedron</vt:lpstr>
      <vt:lpstr>Ol-basalt-polyhedron</vt:lpstr>
      <vt:lpstr>NORM-dm</vt:lpstr>
      <vt:lpstr>NORM-DR00-6</vt:lpstr>
      <vt:lpstr>NORM-dx</vt:lpstr>
      <vt:lpstr>'Ol-basalt-polyhedron'!Print_Area</vt:lpstr>
      <vt:lpstr>'Qz-basalt-polyhedron'!Print_Area</vt:lpstr>
    </vt:vector>
  </TitlesOfParts>
  <Company>ASU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Computing</dc:creator>
  <cp:lastModifiedBy>jordan</cp:lastModifiedBy>
  <cp:lastPrinted>2011-10-18T21:27:40Z</cp:lastPrinted>
  <dcterms:created xsi:type="dcterms:W3CDTF">2007-03-12T19:47:43Z</dcterms:created>
  <dcterms:modified xsi:type="dcterms:W3CDTF">2019-02-06T04:54:15Z</dcterms:modified>
</cp:coreProperties>
</file>