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cyradis\Documents\Ubyssey_Research\Beryl\Beryl Geometry\"/>
    </mc:Choice>
  </mc:AlternateContent>
  <xr:revisionPtr revIDLastSave="0" documentId="8_{78C5565A-6087-43C1-B35A-C83CA3260BBA}" xr6:coauthVersionLast="47" xr6:coauthVersionMax="47" xr10:uidLastSave="{00000000-0000-0000-0000-000000000000}"/>
  <bookViews>
    <workbookView xWindow="-108" yWindow="-108" windowWidth="23256" windowHeight="12576" xr2:uid="{302965C6-B007-4CD5-B888-496407481160}"/>
  </bookViews>
  <sheets>
    <sheet name="Data Input" sheetId="1" r:id="rId1"/>
    <sheet name="Results" sheetId="2" r:id="rId2"/>
    <sheet name="Graphs" sheetId="3" r:id="rId3"/>
    <sheet name="Calculation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4" i="2" l="1"/>
  <c r="AR3" i="4"/>
  <c r="AQ3" i="4"/>
  <c r="AN3" i="4"/>
  <c r="AM3" i="4"/>
  <c r="AS3" i="4" l="1"/>
  <c r="G26" i="1" s="1"/>
  <c r="AO3" i="4"/>
  <c r="AP3" i="4" l="1"/>
  <c r="C26" i="1" s="1"/>
  <c r="E26" i="1"/>
  <c r="S25" i="2" l="1"/>
  <c r="S26" i="2" a="1"/>
  <c r="S26" i="2" s="1"/>
  <c r="AI3" i="4"/>
  <c r="AB3" i="4" s="1"/>
  <c r="AJ3" i="4"/>
  <c r="V3" i="4" s="1"/>
  <c r="AG8" i="4"/>
  <c r="AE8" i="4"/>
  <c r="AG7" i="4"/>
  <c r="AE7" i="4"/>
  <c r="AA8" i="4"/>
  <c r="AA7" i="4"/>
  <c r="Y8" i="4"/>
  <c r="Y7" i="4"/>
  <c r="S8" i="4"/>
  <c r="S7" i="4"/>
  <c r="Q8" i="4"/>
  <c r="Q7" i="4"/>
  <c r="S28" i="2" a="1"/>
  <c r="S28" i="2" s="1"/>
  <c r="S27" i="2"/>
  <c r="S23" i="2"/>
  <c r="W3" i="4" l="1"/>
  <c r="B3" i="4" s="1"/>
  <c r="X3" i="4"/>
  <c r="AE3" i="4"/>
  <c r="AA3" i="4"/>
  <c r="AH3" i="4"/>
  <c r="AD3" i="4"/>
  <c r="Z3" i="4"/>
  <c r="AG3" i="4"/>
  <c r="AC3" i="4"/>
  <c r="Y3" i="4"/>
  <c r="AF3" i="4"/>
  <c r="J12" i="2" l="1"/>
  <c r="B49" i="4"/>
  <c r="B47" i="4"/>
  <c r="B19" i="4"/>
  <c r="B42" i="4"/>
  <c r="B17" i="4"/>
  <c r="B46" i="4"/>
  <c r="B43" i="4"/>
  <c r="B41" i="4"/>
  <c r="B15" i="4"/>
  <c r="B20" i="4"/>
  <c r="B45" i="4"/>
  <c r="B27" i="4"/>
  <c r="B11" i="4"/>
  <c r="B28" i="4"/>
  <c r="B10" i="4"/>
  <c r="B12" i="4"/>
  <c r="B29" i="4"/>
  <c r="B23" i="4"/>
  <c r="B26" i="4"/>
  <c r="B31" i="4"/>
  <c r="B25" i="4"/>
  <c r="B13" i="4"/>
  <c r="B30" i="4"/>
  <c r="B24" i="4"/>
  <c r="B39" i="4"/>
  <c r="B37" i="4"/>
  <c r="B36" i="4"/>
  <c r="B35" i="4"/>
  <c r="B38" i="4"/>
  <c r="B34" i="4"/>
  <c r="B33" i="4"/>
  <c r="B16" i="4"/>
  <c r="B14" i="4"/>
  <c r="B7" i="4"/>
  <c r="B8" i="4"/>
  <c r="B9" i="4"/>
  <c r="C3" i="4"/>
  <c r="G12" i="2" l="1"/>
  <c r="J49" i="4"/>
  <c r="F49" i="4"/>
  <c r="J46" i="4"/>
  <c r="J43" i="4"/>
  <c r="F42" i="4"/>
  <c r="F27" i="4"/>
  <c r="F11" i="4"/>
  <c r="F28" i="4"/>
  <c r="F10" i="4"/>
  <c r="F36" i="4"/>
  <c r="F9" i="4"/>
  <c r="J14" i="4"/>
  <c r="J13" i="4"/>
  <c r="J30" i="4"/>
  <c r="J23" i="4"/>
  <c r="J37" i="4"/>
  <c r="J33" i="4"/>
  <c r="J20" i="4"/>
  <c r="F17" i="4"/>
  <c r="J45" i="4"/>
  <c r="J41" i="4"/>
  <c r="F14" i="4"/>
  <c r="F13" i="4"/>
  <c r="F30" i="4"/>
  <c r="F24" i="4"/>
  <c r="F38" i="4"/>
  <c r="F34" i="4"/>
  <c r="F8" i="4"/>
  <c r="J27" i="4"/>
  <c r="J11" i="4"/>
  <c r="J28" i="4"/>
  <c r="J39" i="4"/>
  <c r="J35" i="4"/>
  <c r="J7" i="4"/>
  <c r="J15" i="4"/>
  <c r="F41" i="4"/>
  <c r="F12" i="4"/>
  <c r="F23" i="4"/>
  <c r="F37" i="4"/>
  <c r="F19" i="4"/>
  <c r="J31" i="4"/>
  <c r="J38" i="4"/>
  <c r="J17" i="4"/>
  <c r="F15" i="4"/>
  <c r="J47" i="4"/>
  <c r="F46" i="4"/>
  <c r="F43" i="4"/>
  <c r="F20" i="4"/>
  <c r="F26" i="4"/>
  <c r="F31" i="4"/>
  <c r="F25" i="4"/>
  <c r="F39" i="4"/>
  <c r="F35" i="4"/>
  <c r="F7" i="4"/>
  <c r="J16" i="4"/>
  <c r="J12" i="4"/>
  <c r="J29" i="4"/>
  <c r="J10" i="4"/>
  <c r="J36" i="4"/>
  <c r="J9" i="4"/>
  <c r="J19" i="4"/>
  <c r="F45" i="4"/>
  <c r="J42" i="4"/>
  <c r="F16" i="4"/>
  <c r="F29" i="4"/>
  <c r="F33" i="4"/>
  <c r="J26" i="4"/>
  <c r="J24" i="4"/>
  <c r="J34" i="4"/>
  <c r="J8" i="4"/>
  <c r="F47" i="4"/>
  <c r="J25" i="4"/>
  <c r="D3" i="4" l="1"/>
  <c r="G9" i="2" s="1"/>
  <c r="S15" i="2" l="1" a="1"/>
  <c r="S15" i="2" s="1"/>
  <c r="M26" i="2" a="1"/>
  <c r="M26" i="2" s="1"/>
  <c r="M21" i="2" a="1"/>
  <c r="M21" i="2" s="1"/>
  <c r="M16" i="2" a="1"/>
  <c r="M16" i="2" s="1"/>
  <c r="I21" i="2" a="1"/>
  <c r="I21" i="2" s="1"/>
  <c r="I15" i="2" a="1"/>
  <c r="I15" i="2" s="1"/>
  <c r="D31" i="2" a="1"/>
  <c r="D31" i="2" s="1"/>
  <c r="D23" i="2" a="1"/>
  <c r="D23" i="2" s="1"/>
  <c r="V18" i="2" a="1"/>
  <c r="V18" i="2" s="1"/>
  <c r="P15" i="2" a="1"/>
  <c r="P15" i="2" s="1"/>
  <c r="M25" i="2" a="1"/>
  <c r="M25" i="2" s="1"/>
  <c r="M20" i="2" a="1"/>
  <c r="M20" i="2" s="1"/>
  <c r="M15" i="2" a="1"/>
  <c r="M15" i="2" s="1"/>
  <c r="I20" i="2" a="1"/>
  <c r="I20" i="2" s="1"/>
  <c r="D28" i="2" a="1"/>
  <c r="D28" i="2" s="1"/>
  <c r="N12" i="2" a="1"/>
  <c r="N12" i="2" s="1"/>
  <c r="S18" i="2" a="1"/>
  <c r="S18" i="2" s="1"/>
  <c r="S12" i="2" a="1"/>
  <c r="S12" i="2" s="1"/>
  <c r="M24" i="2" a="1"/>
  <c r="M24" i="2" s="1"/>
  <c r="M19" i="2" a="1"/>
  <c r="M19" i="2" s="1"/>
  <c r="I24" i="2" a="1"/>
  <c r="I24" i="2" s="1"/>
  <c r="I19" i="2" a="1"/>
  <c r="I19" i="2" s="1"/>
  <c r="D33" i="2" a="1"/>
  <c r="D33" i="2" s="1"/>
  <c r="D27" i="2" a="1"/>
  <c r="D27" i="2" s="1"/>
  <c r="P9" i="2" a="1"/>
  <c r="P9" i="2" s="1"/>
  <c r="P18" i="2" a="1"/>
  <c r="P18" i="2" s="1"/>
  <c r="P12" i="2" a="1"/>
  <c r="P12" i="2" s="1"/>
  <c r="M23" i="2" a="1"/>
  <c r="M23" i="2" s="1"/>
  <c r="M17" i="2" a="1"/>
  <c r="M17" i="2" s="1"/>
  <c r="I23" i="2" a="1"/>
  <c r="I23" i="2" s="1"/>
  <c r="I17" i="2" a="1"/>
  <c r="I17" i="2" s="1"/>
  <c r="D32" i="2" a="1"/>
  <c r="D32" i="2" s="1"/>
  <c r="D24" i="2" a="1"/>
  <c r="D24" i="2" s="1"/>
  <c r="O9" i="2" a="1"/>
  <c r="O9" i="2" s="1"/>
  <c r="N9" i="2" a="1"/>
  <c r="N9" i="2" s="1"/>
  <c r="E3" i="4"/>
  <c r="B9" i="2" s="1" a="1"/>
  <c r="B9" i="2" s="1"/>
  <c r="C9" i="2" s="1" a="1"/>
  <c r="C9" i="2" s="1"/>
  <c r="AC8" i="4" l="1" a="1"/>
  <c r="AC8" i="4" s="1"/>
  <c r="D12" i="2" s="1" a="1"/>
  <c r="D12" i="2" s="1"/>
  <c r="AC7" i="4" a="1"/>
  <c r="AC7" i="4" s="1"/>
  <c r="B12" i="2" s="1" a="1"/>
  <c r="B12"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<sst xmlns="http://schemas.openxmlformats.org/spreadsheetml/2006/main" count="227" uniqueCount="196">
  <si>
    <t>Hello beryl researcher! This spreadsheet is designed to help you determine the crystal structure of your sample just with your measured chemical composition. All you need to do is enter the chemical composition in Atoms Per Formula Unit into this spreadsheet, and we'll take it from there.</t>
  </si>
  <si>
    <r>
      <t>Si (</t>
    </r>
    <r>
      <rPr>
        <i/>
        <sz val="11"/>
        <color theme="1"/>
        <rFont val="Calibri"/>
        <family val="2"/>
        <scheme val="minor"/>
      </rPr>
      <t>apfu</t>
    </r>
    <r>
      <rPr>
        <sz val="11"/>
        <color theme="1"/>
        <rFont val="Calibri"/>
        <family val="2"/>
        <scheme val="minor"/>
      </rPr>
      <t>)</t>
    </r>
  </si>
  <si>
    <r>
      <t>Be (</t>
    </r>
    <r>
      <rPr>
        <i/>
        <sz val="11"/>
        <color theme="1"/>
        <rFont val="Calibri"/>
        <family val="2"/>
        <scheme val="minor"/>
      </rPr>
      <t>apfu</t>
    </r>
    <r>
      <rPr>
        <sz val="11"/>
        <color theme="1"/>
        <rFont val="Calibri"/>
        <family val="2"/>
        <scheme val="minor"/>
      </rPr>
      <t>)</t>
    </r>
  </si>
  <si>
    <r>
      <t>Li (</t>
    </r>
    <r>
      <rPr>
        <i/>
        <sz val="11"/>
        <color theme="1"/>
        <rFont val="Calibri"/>
        <family val="2"/>
        <scheme val="minor"/>
      </rPr>
      <t>apfu)</t>
    </r>
  </si>
  <si>
    <t>Be site</t>
  </si>
  <si>
    <t>Al site</t>
  </si>
  <si>
    <r>
      <t>Al (</t>
    </r>
    <r>
      <rPr>
        <i/>
        <sz val="11"/>
        <color theme="1"/>
        <rFont val="Calibri"/>
        <family val="2"/>
        <scheme val="minor"/>
      </rPr>
      <t>apfu</t>
    </r>
    <r>
      <rPr>
        <sz val="11"/>
        <color theme="1"/>
        <rFont val="Calibri"/>
        <family val="2"/>
        <scheme val="minor"/>
      </rPr>
      <t>)</t>
    </r>
  </si>
  <si>
    <t>Cr</t>
  </si>
  <si>
    <t>Mn2+</t>
  </si>
  <si>
    <t>Si site</t>
  </si>
  <si>
    <t>Na site (channel 2b)</t>
  </si>
  <si>
    <t>Content</t>
  </si>
  <si>
    <t>Red, or does it come from a topaz rhyolite (Red beryl)?</t>
  </si>
  <si>
    <t>Vividly Green, or Green with a faint hint of blue (Emerald)?</t>
  </si>
  <si>
    <t>Blue dominant color, even if only faintly so (Aquamarine)?</t>
  </si>
  <si>
    <t xml:space="preserve">Yellow, yellowish green, or greenish yellow (Heliodor)? </t>
  </si>
  <si>
    <t>Colorless or white (Goshenite)?</t>
  </si>
  <si>
    <t xml:space="preserve">Pink or pink-purple, pastel (Morganite)? </t>
  </si>
  <si>
    <t>Yes/No?</t>
  </si>
  <si>
    <t>Yes</t>
  </si>
  <si>
    <t>Is the color of your beryl unknown?</t>
  </si>
  <si>
    <t>Congratulations beryl researcher! Here is structural information about your beryl sample, and the calculated water content based off your measured chemistry!</t>
  </si>
  <si>
    <t>H2O (wt.%)</t>
  </si>
  <si>
    <r>
      <t>H2O (</t>
    </r>
    <r>
      <rPr>
        <i/>
        <sz val="11"/>
        <color theme="1"/>
        <rFont val="Calibri"/>
        <family val="2"/>
        <scheme val="minor"/>
      </rPr>
      <t>apfu</t>
    </r>
    <r>
      <rPr>
        <sz val="11"/>
        <color theme="1"/>
        <rFont val="Calibri"/>
        <family val="2"/>
        <scheme val="minor"/>
      </rPr>
      <t>)</t>
    </r>
  </si>
  <si>
    <t>Be</t>
  </si>
  <si>
    <t>x</t>
  </si>
  <si>
    <t>y</t>
  </si>
  <si>
    <t>z</t>
  </si>
  <si>
    <t xml:space="preserve">Al </t>
  </si>
  <si>
    <t>Si</t>
  </si>
  <si>
    <t>O1</t>
  </si>
  <si>
    <t>Position</t>
  </si>
  <si>
    <t>Element</t>
  </si>
  <si>
    <t>T-site</t>
  </si>
  <si>
    <t>M-site</t>
  </si>
  <si>
    <t>Si-site</t>
  </si>
  <si>
    <t>O2</t>
  </si>
  <si>
    <t>Na</t>
  </si>
  <si>
    <t>The position data can be used to plot the structure of your crystal.</t>
  </si>
  <si>
    <t>Ow</t>
  </si>
  <si>
    <t>Interatomic Distances</t>
  </si>
  <si>
    <t>Si-O1a (Å)</t>
  </si>
  <si>
    <t>Si-O1b (Å)</t>
  </si>
  <si>
    <t>Si-O2 (Å)</t>
  </si>
  <si>
    <r>
      <rPr>
        <i/>
        <sz val="11"/>
        <color theme="1"/>
        <rFont val="Calibri"/>
        <family val="2"/>
        <scheme val="minor"/>
      </rPr>
      <t>a</t>
    </r>
    <r>
      <rPr>
        <sz val="11"/>
        <color theme="1"/>
        <rFont val="Calibri"/>
        <family val="2"/>
        <scheme val="minor"/>
      </rPr>
      <t xml:space="preserve"> (Å)</t>
    </r>
  </si>
  <si>
    <r>
      <rPr>
        <i/>
        <sz val="11"/>
        <color theme="1"/>
        <rFont val="Calibri"/>
        <family val="2"/>
        <scheme val="minor"/>
      </rPr>
      <t>c</t>
    </r>
    <r>
      <rPr>
        <sz val="11"/>
        <color theme="1"/>
        <rFont val="Calibri"/>
        <family val="2"/>
        <scheme val="minor"/>
      </rPr>
      <t xml:space="preserve"> (Å)</t>
    </r>
  </si>
  <si>
    <r>
      <rPr>
        <i/>
        <sz val="11"/>
        <color theme="1"/>
        <rFont val="Calibri"/>
        <family val="2"/>
        <scheme val="minor"/>
      </rPr>
      <t>c</t>
    </r>
    <r>
      <rPr>
        <sz val="11"/>
        <color theme="1"/>
        <rFont val="Calibri"/>
        <family val="2"/>
        <scheme val="minor"/>
      </rPr>
      <t>/</t>
    </r>
    <r>
      <rPr>
        <i/>
        <sz val="11"/>
        <color theme="1"/>
        <rFont val="Calibri"/>
        <family val="2"/>
        <scheme val="minor"/>
      </rPr>
      <t>a</t>
    </r>
    <r>
      <rPr>
        <sz val="11"/>
        <color theme="1"/>
        <rFont val="Calibri"/>
        <family val="2"/>
        <scheme val="minor"/>
      </rPr>
      <t xml:space="preserve"> ratio</t>
    </r>
  </si>
  <si>
    <t>Average M-site Ionic Radius (Å)</t>
  </si>
  <si>
    <t>Average T-site Ionic Radius (Å)</t>
  </si>
  <si>
    <t>Al(M)-O2 (Å)</t>
  </si>
  <si>
    <t>Be(T)-O2 (Å)</t>
  </si>
  <si>
    <t>V (Å^3)</t>
  </si>
  <si>
    <t>Octahedrally or tetrahedrally trending as calculated in this spreadsheet</t>
  </si>
  <si>
    <t>Li</t>
  </si>
  <si>
    <t>Al</t>
  </si>
  <si>
    <t>Mg</t>
  </si>
  <si>
    <t>Fe2+</t>
  </si>
  <si>
    <t>Fe3+</t>
  </si>
  <si>
    <t>V</t>
  </si>
  <si>
    <t>Mn3+</t>
  </si>
  <si>
    <t>Sc</t>
  </si>
  <si>
    <t>Ni</t>
  </si>
  <si>
    <t>Zn</t>
  </si>
  <si>
    <t>Ionic Radius as in Shannon (1976)</t>
  </si>
  <si>
    <t>Be part of AIR T-site</t>
  </si>
  <si>
    <t>Li part of AIR T-site</t>
  </si>
  <si>
    <t>Al part of AIR M-site</t>
  </si>
  <si>
    <t>Mg part of AIR M-site</t>
  </si>
  <si>
    <t>Fe2+ part of AIR M-site</t>
  </si>
  <si>
    <t>Fe3+ part of AIR M-site</t>
  </si>
  <si>
    <t>Cr part of AIR M-site</t>
  </si>
  <si>
    <t>V part of AIR M-site</t>
  </si>
  <si>
    <t>AIR: Average Ionic Radius</t>
  </si>
  <si>
    <t>Mn2+ part of AIR M-site</t>
  </si>
  <si>
    <t>Mn3+ part of AIR M-site</t>
  </si>
  <si>
    <t>Sc part of AIR M-site</t>
  </si>
  <si>
    <t>Ni part of AIR M-site</t>
  </si>
  <si>
    <t>Zn part of AIR M-site</t>
  </si>
  <si>
    <t>AIR T-site</t>
  </si>
  <si>
    <t>AIR M-Site</t>
  </si>
  <si>
    <t>Octa/Tetra Determination Value</t>
  </si>
  <si>
    <t>M-site total</t>
  </si>
  <si>
    <t>Octahedral/Tetrahedral?</t>
  </si>
  <si>
    <t>Tetrahedrally Trending</t>
  </si>
  <si>
    <t>Octahedrally Trending</t>
  </si>
  <si>
    <t>a</t>
  </si>
  <si>
    <t>c</t>
  </si>
  <si>
    <r>
      <rPr>
        <i/>
        <sz val="11"/>
        <color theme="1"/>
        <rFont val="Calibri"/>
        <family val="2"/>
        <scheme val="minor"/>
      </rPr>
      <t>c</t>
    </r>
    <r>
      <rPr>
        <sz val="11"/>
        <color theme="1"/>
        <rFont val="Calibri"/>
        <family val="2"/>
        <scheme val="minor"/>
      </rPr>
      <t>/</t>
    </r>
    <r>
      <rPr>
        <i/>
        <sz val="11"/>
        <color theme="1"/>
        <rFont val="Calibri"/>
        <family val="2"/>
        <scheme val="minor"/>
      </rPr>
      <t>a</t>
    </r>
  </si>
  <si>
    <t>Emerald</t>
  </si>
  <si>
    <t>Aquamarine</t>
  </si>
  <si>
    <t>Red Beryl</t>
  </si>
  <si>
    <t>Goshenite</t>
  </si>
  <si>
    <t>Heliodor</t>
  </si>
  <si>
    <t>Morganite</t>
  </si>
  <si>
    <t>Si x</t>
  </si>
  <si>
    <t>Si y</t>
  </si>
  <si>
    <t>O1 x</t>
  </si>
  <si>
    <t>O1 y</t>
  </si>
  <si>
    <t>O2 x</t>
  </si>
  <si>
    <t>O2 y</t>
  </si>
  <si>
    <t>O2 z</t>
  </si>
  <si>
    <t>Si-O1a</t>
  </si>
  <si>
    <t>Si-O1b</t>
  </si>
  <si>
    <t>Si-O2</t>
  </si>
  <si>
    <t>Na(2b)-O1</t>
  </si>
  <si>
    <t>Si BAV</t>
  </si>
  <si>
    <t>Si Bond Angle Variance</t>
  </si>
  <si>
    <t>Si Distortion Index</t>
  </si>
  <si>
    <t>Si poly vol</t>
  </si>
  <si>
    <t>Si dist ind</t>
  </si>
  <si>
    <t>O1a-Si-O1b bond angle</t>
  </si>
  <si>
    <t>O1a-Si-O2 bond angle</t>
  </si>
  <si>
    <t>O1b-Si-O2 bond angle</t>
  </si>
  <si>
    <t>O2-Si-O2 bond angle</t>
  </si>
  <si>
    <t>Interatomic Bond Angles</t>
  </si>
  <si>
    <t>O1a-Si-O1b</t>
  </si>
  <si>
    <t>O1a-Si-O2</t>
  </si>
  <si>
    <t>O1b-Si-O2</t>
  </si>
  <si>
    <t>Be Bond Angle Variance</t>
  </si>
  <si>
    <t>Al Bond Angle Variance</t>
  </si>
  <si>
    <t>O2-Si-O2</t>
  </si>
  <si>
    <t>O2-Be-O2c</t>
  </si>
  <si>
    <t>O2-Be-O2d</t>
  </si>
  <si>
    <t>O2-Be-O2e</t>
  </si>
  <si>
    <t>O2a-Al-O2f</t>
  </si>
  <si>
    <t>O2a-Al-O2g</t>
  </si>
  <si>
    <t>O2a-Al-O2h</t>
  </si>
  <si>
    <t>Be poly vol</t>
  </si>
  <si>
    <t>Be BAV</t>
  </si>
  <si>
    <t>Al poly vol</t>
  </si>
  <si>
    <t>Al BAV</t>
  </si>
  <si>
    <t>The following guide may help determine what variety of beryl you have, if you do not know the color of your sample. This is not meant to be a certain identification, but can be used to help classify it.</t>
  </si>
  <si>
    <t>Based on Cr &amp; V content…</t>
  </si>
  <si>
    <t>Based on the Mg &amp; Fe content…</t>
  </si>
  <si>
    <t>Based on the Mn content…</t>
  </si>
  <si>
    <t>Based on the Li content…</t>
  </si>
  <si>
    <t>Based on the Na content…</t>
  </si>
  <si>
    <t>Elements are listed in an approximate order of prevalence as a substituting cation in beryl. There may be elements that you have measured which are not necessary for this spreadsheet. Please enter 0 for elements below detection limits or not measured.</t>
  </si>
  <si>
    <t>Based on Fe content…</t>
  </si>
  <si>
    <t>~0.023-0.077</t>
  </si>
  <si>
    <t>~0.85-2.21</t>
  </si>
  <si>
    <r>
      <t>Mg (</t>
    </r>
    <r>
      <rPr>
        <i/>
        <sz val="11"/>
        <color theme="1"/>
        <rFont val="Calibri"/>
        <family val="2"/>
        <scheme val="minor"/>
      </rPr>
      <t>apfu</t>
    </r>
    <r>
      <rPr>
        <sz val="11"/>
        <color theme="1"/>
        <rFont val="Calibri"/>
        <family val="2"/>
        <scheme val="minor"/>
      </rPr>
      <t>)</t>
    </r>
  </si>
  <si>
    <r>
      <t>Fe2+ (</t>
    </r>
    <r>
      <rPr>
        <i/>
        <sz val="11"/>
        <color theme="1"/>
        <rFont val="Calibri"/>
        <family val="2"/>
        <scheme val="minor"/>
      </rPr>
      <t>apfu</t>
    </r>
    <r>
      <rPr>
        <sz val="11"/>
        <color theme="1"/>
        <rFont val="Calibri"/>
        <family val="2"/>
        <scheme val="minor"/>
      </rPr>
      <t>)</t>
    </r>
  </si>
  <si>
    <r>
      <t>Fe3+ (</t>
    </r>
    <r>
      <rPr>
        <i/>
        <sz val="11"/>
        <color theme="1"/>
        <rFont val="Calibri"/>
        <family val="2"/>
        <scheme val="minor"/>
      </rPr>
      <t>apfu</t>
    </r>
    <r>
      <rPr>
        <sz val="11"/>
        <color theme="1"/>
        <rFont val="Calibri"/>
        <family val="2"/>
        <scheme val="minor"/>
      </rPr>
      <t>)</t>
    </r>
  </si>
  <si>
    <r>
      <t>Cr (</t>
    </r>
    <r>
      <rPr>
        <i/>
        <sz val="11"/>
        <color theme="1"/>
        <rFont val="Calibri"/>
        <family val="2"/>
        <scheme val="minor"/>
      </rPr>
      <t>apfu</t>
    </r>
    <r>
      <rPr>
        <sz val="11"/>
        <color theme="1"/>
        <rFont val="Calibri"/>
        <family val="2"/>
        <scheme val="minor"/>
      </rPr>
      <t>)</t>
    </r>
  </si>
  <si>
    <r>
      <t>V (</t>
    </r>
    <r>
      <rPr>
        <i/>
        <sz val="11"/>
        <color theme="1"/>
        <rFont val="Calibri"/>
        <family val="2"/>
        <scheme val="minor"/>
      </rPr>
      <t>apfu</t>
    </r>
    <r>
      <rPr>
        <sz val="11"/>
        <color theme="1"/>
        <rFont val="Calibri"/>
        <family val="2"/>
        <scheme val="minor"/>
      </rPr>
      <t>)</t>
    </r>
  </si>
  <si>
    <r>
      <t>Mn2+ (</t>
    </r>
    <r>
      <rPr>
        <i/>
        <sz val="11"/>
        <color theme="1"/>
        <rFont val="Calibri"/>
        <family val="2"/>
        <scheme val="minor"/>
      </rPr>
      <t>apfu</t>
    </r>
    <r>
      <rPr>
        <sz val="11"/>
        <color theme="1"/>
        <rFont val="Calibri"/>
        <family val="2"/>
        <scheme val="minor"/>
      </rPr>
      <t>)</t>
    </r>
  </si>
  <si>
    <r>
      <t>Mn3+ (</t>
    </r>
    <r>
      <rPr>
        <i/>
        <sz val="11"/>
        <color theme="1"/>
        <rFont val="Calibri"/>
        <family val="2"/>
        <scheme val="minor"/>
      </rPr>
      <t>apfu</t>
    </r>
    <r>
      <rPr>
        <sz val="11"/>
        <color theme="1"/>
        <rFont val="Calibri"/>
        <family val="2"/>
        <scheme val="minor"/>
      </rPr>
      <t>)</t>
    </r>
  </si>
  <si>
    <r>
      <t>Sc (</t>
    </r>
    <r>
      <rPr>
        <i/>
        <sz val="11"/>
        <color theme="1"/>
        <rFont val="Calibri"/>
        <family val="2"/>
        <scheme val="minor"/>
      </rPr>
      <t>apfu</t>
    </r>
    <r>
      <rPr>
        <sz val="11"/>
        <color theme="1"/>
        <rFont val="Calibri"/>
        <family val="2"/>
        <scheme val="minor"/>
      </rPr>
      <t>)</t>
    </r>
  </si>
  <si>
    <r>
      <t>Ni (</t>
    </r>
    <r>
      <rPr>
        <i/>
        <sz val="11"/>
        <color theme="1"/>
        <rFont val="Calibri"/>
        <family val="2"/>
        <scheme val="minor"/>
      </rPr>
      <t>apfu</t>
    </r>
    <r>
      <rPr>
        <sz val="11"/>
        <color theme="1"/>
        <rFont val="Calibri"/>
        <family val="2"/>
        <scheme val="minor"/>
      </rPr>
      <t>)</t>
    </r>
  </si>
  <si>
    <r>
      <t>Zn (</t>
    </r>
    <r>
      <rPr>
        <i/>
        <sz val="11"/>
        <color theme="1"/>
        <rFont val="Calibri"/>
        <family val="2"/>
        <scheme val="minor"/>
      </rPr>
      <t>apfu</t>
    </r>
    <r>
      <rPr>
        <sz val="11"/>
        <color theme="1"/>
        <rFont val="Calibri"/>
        <family val="2"/>
        <scheme val="minor"/>
      </rPr>
      <t>)</t>
    </r>
  </si>
  <si>
    <r>
      <t>Na (</t>
    </r>
    <r>
      <rPr>
        <i/>
        <sz val="11"/>
        <color theme="1"/>
        <rFont val="Calibri"/>
        <family val="2"/>
        <scheme val="minor"/>
      </rPr>
      <t>apfu</t>
    </r>
    <r>
      <rPr>
        <sz val="11"/>
        <color theme="1"/>
        <rFont val="Calibri"/>
        <family val="2"/>
        <scheme val="minor"/>
      </rPr>
      <t>)</t>
    </r>
  </si>
  <si>
    <t>No</t>
  </si>
  <si>
    <t xml:space="preserve">Please answer GRAY question boxes by selecting the option that describes your sample (only one should be selected "Yes"). </t>
  </si>
  <si>
    <t>Na2O (wt.%)</t>
  </si>
  <si>
    <t>Unknown, Octahedral</t>
  </si>
  <si>
    <t>Unknown, Tetrahedral</t>
  </si>
  <si>
    <t>Unknown True</t>
  </si>
  <si>
    <t>T-site total</t>
  </si>
  <si>
    <t xml:space="preserve">NOTE the excel sheet may have goofed on the reds here. Try redoing perhaps? </t>
  </si>
  <si>
    <t>Al Polyhedral Volume (Å^3)</t>
  </si>
  <si>
    <t>Be Polyhedral Volume (Å^3)</t>
  </si>
  <si>
    <t>Si Polyhedral Volume (Å^3)</t>
  </si>
  <si>
    <r>
      <t>H2O (</t>
    </r>
    <r>
      <rPr>
        <i/>
        <sz val="11"/>
        <color theme="1"/>
        <rFont val="Calibri"/>
        <family val="2"/>
        <scheme val="minor"/>
      </rPr>
      <t>apfu</t>
    </r>
    <r>
      <rPr>
        <sz val="11"/>
        <color theme="1"/>
        <rFont val="Calibri"/>
        <family val="2"/>
        <scheme val="minor"/>
      </rPr>
      <t>)</t>
    </r>
  </si>
  <si>
    <t>If you have distinct color information about your beryl, please select Yes here in appropriate box. This will change the equations used to calculate water content.</t>
  </si>
  <si>
    <t>Mg, Ni, and Zn are always assumed to be divalent. Fe must be entered as divalent or trivalent (divalent is more common). Fe in red beryl is always considered trivalent. Mn should be assumed as divalent unless the sample is a red beryl/from a topaz rhyolite, in which case it is trivalent. Sc, V, and Cr are always assumed to be trivalent.</t>
  </si>
  <si>
    <r>
      <t xml:space="preserve">Please make sure you know your Fe2+/Fe3+ and Li1+ content prior to entering in your data. We recommend the methods described in our paper, Henry </t>
    </r>
    <r>
      <rPr>
        <i/>
        <sz val="9"/>
        <color theme="1"/>
        <rFont val="Calibri"/>
        <family val="2"/>
        <scheme val="minor"/>
      </rPr>
      <t>et al</t>
    </r>
    <r>
      <rPr>
        <sz val="9"/>
        <color theme="1"/>
        <rFont val="Calibri"/>
        <family val="2"/>
        <scheme val="minor"/>
      </rPr>
      <t xml:space="preserve">. (202X) for normalizing your data and making these calculations, however, we know that some researchers may prefer to measure Li content, thus use different calculations. We also recommend assuming that Fe and Mn is trivalent in any red beryl, or beryl from a topaz rhyolite. </t>
    </r>
  </si>
  <si>
    <r>
      <t>K (</t>
    </r>
    <r>
      <rPr>
        <i/>
        <sz val="11"/>
        <color theme="1"/>
        <rFont val="Calibri"/>
        <family val="2"/>
        <scheme val="minor"/>
      </rPr>
      <t>apfu</t>
    </r>
    <r>
      <rPr>
        <sz val="11"/>
        <color theme="1"/>
        <rFont val="Calibri"/>
        <family val="2"/>
        <scheme val="minor"/>
      </rPr>
      <t>)</t>
    </r>
  </si>
  <si>
    <r>
      <t>Cs (</t>
    </r>
    <r>
      <rPr>
        <i/>
        <sz val="11"/>
        <color theme="1"/>
        <rFont val="Calibri"/>
        <family val="2"/>
        <scheme val="minor"/>
      </rPr>
      <t>apfu</t>
    </r>
    <r>
      <rPr>
        <sz val="11"/>
        <color theme="1"/>
        <rFont val="Calibri"/>
        <family val="2"/>
        <scheme val="minor"/>
      </rPr>
      <t>)</t>
    </r>
  </si>
  <si>
    <r>
      <t>Rb (</t>
    </r>
    <r>
      <rPr>
        <i/>
        <sz val="11"/>
        <color theme="1"/>
        <rFont val="Calibri"/>
        <family val="2"/>
        <scheme val="minor"/>
      </rPr>
      <t>apfu</t>
    </r>
    <r>
      <rPr>
        <sz val="11"/>
        <color theme="1"/>
        <rFont val="Calibri"/>
        <family val="2"/>
        <scheme val="minor"/>
      </rPr>
      <t>)</t>
    </r>
  </si>
  <si>
    <r>
      <t>Ca (</t>
    </r>
    <r>
      <rPr>
        <i/>
        <sz val="11"/>
        <color theme="1"/>
        <rFont val="Calibri"/>
        <family val="2"/>
        <scheme val="minor"/>
      </rPr>
      <t>apfu</t>
    </r>
    <r>
      <rPr>
        <sz val="11"/>
        <color theme="1"/>
        <rFont val="Calibri"/>
        <family val="2"/>
        <scheme val="minor"/>
      </rPr>
      <t>)</t>
    </r>
  </si>
  <si>
    <t>MonoSum</t>
  </si>
  <si>
    <t>DivSum at M</t>
  </si>
  <si>
    <r>
      <t>Fe tot (</t>
    </r>
    <r>
      <rPr>
        <i/>
        <sz val="11"/>
        <color theme="1"/>
        <rFont val="Calibri"/>
        <family val="2"/>
        <scheme val="minor"/>
      </rPr>
      <t>apfu</t>
    </r>
    <r>
      <rPr>
        <sz val="11"/>
        <color theme="1"/>
        <rFont val="Calibri"/>
        <family val="2"/>
        <scheme val="minor"/>
      </rPr>
      <t>)</t>
    </r>
  </si>
  <si>
    <t>Do you want assistance in estimating your Be/Li, and Fe3+/Fe2+? If so, please enter your extra values below, then enter the results above! Please note that this is not accounting for very rare trace elements in beryl. It also assumes Mn is divalent.</t>
  </si>
  <si>
    <r>
      <t>Mn tot (</t>
    </r>
    <r>
      <rPr>
        <i/>
        <sz val="11"/>
        <color theme="1"/>
        <rFont val="Calibri"/>
        <family val="2"/>
        <scheme val="minor"/>
      </rPr>
      <t>apfu</t>
    </r>
    <r>
      <rPr>
        <sz val="11"/>
        <color theme="1"/>
        <rFont val="Calibri"/>
        <family val="2"/>
        <scheme val="minor"/>
      </rPr>
      <t>)</t>
    </r>
  </si>
  <si>
    <t>Channel sum</t>
  </si>
  <si>
    <t>M sum w Fe</t>
  </si>
  <si>
    <r>
      <t>Fe2+ (</t>
    </r>
    <r>
      <rPr>
        <i/>
        <sz val="11"/>
        <color theme="1"/>
        <rFont val="Calibri"/>
        <family val="2"/>
        <scheme val="minor"/>
      </rPr>
      <t>apfu</t>
    </r>
    <r>
      <rPr>
        <sz val="11"/>
        <color theme="1"/>
        <rFont val="Calibri"/>
        <family val="2"/>
        <scheme val="minor"/>
      </rPr>
      <t xml:space="preserve">) </t>
    </r>
  </si>
  <si>
    <t>Calculated Fe and Li</t>
  </si>
  <si>
    <r>
      <t>Li (</t>
    </r>
    <r>
      <rPr>
        <i/>
        <sz val="11"/>
        <color theme="1"/>
        <rFont val="Calibri"/>
        <family val="2"/>
        <scheme val="minor"/>
      </rPr>
      <t>apfu</t>
    </r>
    <r>
      <rPr>
        <sz val="11"/>
        <color theme="1"/>
        <rFont val="Calibri"/>
        <family val="2"/>
        <scheme val="minor"/>
      </rPr>
      <t>)</t>
    </r>
  </si>
  <si>
    <t>These will display zero if you did not decide to calculate Fe &amp; Li in this sheet!</t>
  </si>
  <si>
    <t>Red, and must also be octahedral</t>
  </si>
  <si>
    <t>Ow(2a)-O2</t>
  </si>
  <si>
    <t>Ow(2a)-O2 (Å)</t>
  </si>
  <si>
    <t>Al-O2</t>
  </si>
  <si>
    <t>Be-O2</t>
  </si>
  <si>
    <r>
      <t xml:space="preserve">Note that the </t>
    </r>
    <r>
      <rPr>
        <i/>
        <sz val="11"/>
        <color theme="1"/>
        <rFont val="Calibri"/>
        <family val="2"/>
        <scheme val="minor"/>
      </rPr>
      <t>a</t>
    </r>
    <r>
      <rPr>
        <sz val="11"/>
        <color theme="1"/>
        <rFont val="Calibri"/>
        <family val="2"/>
        <scheme val="minor"/>
      </rPr>
      <t xml:space="preserve">, </t>
    </r>
    <r>
      <rPr>
        <i/>
        <sz val="11"/>
        <color theme="1"/>
        <rFont val="Calibri"/>
        <family val="2"/>
        <scheme val="minor"/>
      </rPr>
      <t>c</t>
    </r>
    <r>
      <rPr>
        <sz val="11"/>
        <color theme="1"/>
        <rFont val="Calibri"/>
        <family val="2"/>
        <scheme val="minor"/>
      </rPr>
      <t xml:space="preserve">, and </t>
    </r>
    <r>
      <rPr>
        <i/>
        <sz val="11"/>
        <color theme="1"/>
        <rFont val="Calibri"/>
        <family val="2"/>
        <scheme val="minor"/>
      </rPr>
      <t>c</t>
    </r>
    <r>
      <rPr>
        <sz val="11"/>
        <color theme="1"/>
        <rFont val="Calibri"/>
        <family val="2"/>
        <scheme val="minor"/>
      </rPr>
      <t>/</t>
    </r>
    <r>
      <rPr>
        <i/>
        <sz val="11"/>
        <color theme="1"/>
        <rFont val="Calibri"/>
        <family val="2"/>
        <scheme val="minor"/>
      </rPr>
      <t>a</t>
    </r>
    <r>
      <rPr>
        <sz val="11"/>
        <color theme="1"/>
        <rFont val="Calibri"/>
        <family val="2"/>
        <scheme val="minor"/>
      </rPr>
      <t xml:space="preserve"> parameters are calculated from observed trends described in Henry </t>
    </r>
    <r>
      <rPr>
        <i/>
        <sz val="11"/>
        <color theme="1"/>
        <rFont val="Calibri"/>
        <family val="2"/>
        <scheme val="minor"/>
      </rPr>
      <t>et al</t>
    </r>
    <r>
      <rPr>
        <sz val="11"/>
        <color theme="1"/>
        <rFont val="Calibri"/>
        <family val="2"/>
        <scheme val="minor"/>
      </rPr>
      <t>. (202X).</t>
    </r>
  </si>
  <si>
    <t>Classification by Aurissichio et al. 1988</t>
  </si>
  <si>
    <t>Na(2b)-O1 (Å)</t>
  </si>
  <si>
    <t xml:space="preserve">VERIFY THESE - may need to yoink some points? Do I use the emerald/aqua and gosh/morg, or recalculate according to the trends presented here. Minor overlap issues. </t>
  </si>
  <si>
    <t>d (g/cm^3)</t>
  </si>
  <si>
    <t>d (density)</t>
  </si>
  <si>
    <t>2a channel</t>
  </si>
  <si>
    <t>2b channel</t>
  </si>
  <si>
    <r>
      <t xml:space="preserve">The water content is calculated based on the recommendations of Henry </t>
    </r>
    <r>
      <rPr>
        <i/>
        <sz val="11"/>
        <color theme="1"/>
        <rFont val="Calibri"/>
        <family val="2"/>
        <scheme val="minor"/>
      </rPr>
      <t>et al</t>
    </r>
    <r>
      <rPr>
        <sz val="11"/>
        <color theme="1"/>
        <rFont val="Calibri"/>
        <family val="2"/>
        <scheme val="minor"/>
      </rPr>
      <t>. (2022). Water content for a sample with unknown color will be calculated based off the Na content, and decided as octahedral or tetrahedral based off calculations of this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</si>
</sst>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0000"/>
  </numFmts>
  <fonts count="7" x14ac:knownFonts="1">
    <font>
      <sz val="11"/>
      <color theme="1"/>
      <name val="Calibri"/>
      <family val="2"/>
      <scheme val="minor"/>
    </font>
    <font>
      <sz val="11"/>
      <color rgb="FFFF0000"/>
      <name val="Calibri"/>
      <family val="2"/>
      <scheme val="minor"/>
    </font>
    <font>
      <i/>
      <sz val="11"/>
      <color theme="1"/>
      <name val="Calibri"/>
      <family val="2"/>
      <scheme val="minor"/>
    </font>
    <font>
      <sz val="10"/>
      <color theme="1"/>
      <name val="Calibri"/>
      <family val="2"/>
      <scheme val="minor"/>
    </font>
    <font>
      <sz val="9"/>
      <color theme="1"/>
      <name val="Calibri"/>
      <family val="2"/>
      <scheme val="minor"/>
    </font>
    <font>
      <sz val="11"/>
      <name val="Calibri"/>
      <family val="2"/>
      <scheme val="minor"/>
    </font>
    <font>
      <i/>
      <sz val="9"/>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rgb="FFFFFF00"/>
        <bgColor indexed="64"/>
      </patternFill>
    </fill>
  </fills>
  <borders count="54">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200">
    <xf numFmtId="0" fontId="0" fillId="0" borderId="0" xfId="0"/>
    <xf numFmtId="0" fontId="0" fillId="0" borderId="0" xfId="0" applyAlignment="1">
      <alignment horizontal="center" wrapText="1"/>
    </xf>
    <xf numFmtId="0" fontId="0" fillId="0" borderId="0" xfId="0" applyAlignment="1">
      <alignment wrapText="1"/>
    </xf>
    <xf numFmtId="0" fontId="0" fillId="0" borderId="0" xfId="0" applyAlignment="1">
      <alignment horizontal="center"/>
    </xf>
    <xf numFmtId="0" fontId="0" fillId="0" borderId="4" xfId="0" applyBorder="1"/>
    <xf numFmtId="0" fontId="0" fillId="0" borderId="6" xfId="0" applyBorder="1"/>
    <xf numFmtId="0" fontId="0" fillId="0" borderId="11" xfId="0" applyBorder="1"/>
    <xf numFmtId="0" fontId="0" fillId="0" borderId="12" xfId="0" applyBorder="1"/>
    <xf numFmtId="0" fontId="0" fillId="0" borderId="16" xfId="0" applyBorder="1" applyAlignment="1">
      <alignment wrapText="1"/>
    </xf>
    <xf numFmtId="0" fontId="0" fillId="0" borderId="18" xfId="0" applyBorder="1"/>
    <xf numFmtId="0" fontId="0" fillId="0" borderId="20" xfId="0" applyBorder="1"/>
    <xf numFmtId="0" fontId="0" fillId="2" borderId="20" xfId="0" applyFill="1" applyBorder="1"/>
    <xf numFmtId="0" fontId="0" fillId="2" borderId="13" xfId="0" applyFill="1" applyBorder="1"/>
    <xf numFmtId="0" fontId="0" fillId="0" borderId="17" xfId="0" applyBorder="1" applyAlignment="1">
      <alignment wrapText="1"/>
    </xf>
    <xf numFmtId="0" fontId="0" fillId="2" borderId="31" xfId="0" applyFill="1" applyBorder="1"/>
    <xf numFmtId="0" fontId="0" fillId="2" borderId="29" xfId="0" applyFill="1" applyBorder="1"/>
    <xf numFmtId="0" fontId="0" fillId="0" borderId="32" xfId="0" applyBorder="1"/>
    <xf numFmtId="0" fontId="0" fillId="2" borderId="35" xfId="0" applyFill="1" applyBorder="1"/>
    <xf numFmtId="0" fontId="0" fillId="0" borderId="36" xfId="0" applyBorder="1"/>
    <xf numFmtId="0" fontId="0" fillId="0" borderId="13" xfId="0" applyBorder="1" applyAlignment="1">
      <alignment horizontal="center"/>
    </xf>
    <xf numFmtId="0" fontId="0" fillId="0" borderId="17" xfId="0" applyBorder="1" applyAlignment="1">
      <alignment horizontal="center"/>
    </xf>
    <xf numFmtId="0" fontId="0" fillId="0" borderId="45" xfId="0" applyBorder="1"/>
    <xf numFmtId="0" fontId="0" fillId="0" borderId="20" xfId="0" applyBorder="1" applyAlignment="1">
      <alignment horizontal="center"/>
    </xf>
    <xf numFmtId="0" fontId="0" fillId="0" borderId="19" xfId="0" applyBorder="1" applyAlignment="1">
      <alignment horizontal="center"/>
    </xf>
    <xf numFmtId="0" fontId="0" fillId="0" borderId="35" xfId="0" applyBorder="1" applyAlignment="1">
      <alignment horizontal="center"/>
    </xf>
    <xf numFmtId="0" fontId="0" fillId="0" borderId="4"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42" xfId="0" applyBorder="1" applyAlignment="1">
      <alignment horizontal="center"/>
    </xf>
    <xf numFmtId="0" fontId="0" fillId="0" borderId="40" xfId="0" applyBorder="1" applyAlignment="1">
      <alignment horizontal="center"/>
    </xf>
    <xf numFmtId="0" fontId="0" fillId="0" borderId="44" xfId="0" applyBorder="1" applyAlignment="1">
      <alignment horizontal="center"/>
    </xf>
    <xf numFmtId="0" fontId="0" fillId="0" borderId="49" xfId="0" applyBorder="1" applyAlignment="1">
      <alignment horizontal="center"/>
    </xf>
    <xf numFmtId="0" fontId="0" fillId="0" borderId="25" xfId="0" applyBorder="1" applyAlignment="1">
      <alignment wrapText="1"/>
    </xf>
    <xf numFmtId="0" fontId="4" fillId="0" borderId="0" xfId="0" applyFont="1" applyAlignment="1">
      <alignment wrapText="1"/>
    </xf>
    <xf numFmtId="0" fontId="2" fillId="0" borderId="0" xfId="0" applyFont="1"/>
    <xf numFmtId="0" fontId="0" fillId="0" borderId="15" xfId="0" applyBorder="1" applyAlignment="1">
      <alignment wrapText="1"/>
    </xf>
    <xf numFmtId="0" fontId="0" fillId="3" borderId="12" xfId="0" applyFill="1" applyBorder="1"/>
    <xf numFmtId="0" fontId="0" fillId="3" borderId="24" xfId="0" applyFill="1" applyBorder="1"/>
    <xf numFmtId="0" fontId="0" fillId="3" borderId="13" xfId="0" applyFill="1" applyBorder="1"/>
    <xf numFmtId="0" fontId="0" fillId="0" borderId="53" xfId="0" applyBorder="1" applyAlignment="1">
      <alignment horizontal="center"/>
    </xf>
    <xf numFmtId="0" fontId="0" fillId="0" borderId="50" xfId="0" applyBorder="1" applyAlignment="1">
      <alignment horizontal="center"/>
    </xf>
    <xf numFmtId="0" fontId="0" fillId="0" borderId="14" xfId="0" applyBorder="1" applyAlignment="1">
      <alignment wrapText="1"/>
    </xf>
    <xf numFmtId="165" fontId="0" fillId="0" borderId="0" xfId="0" applyNumberFormat="1"/>
    <xf numFmtId="165" fontId="0" fillId="0" borderId="33" xfId="0" applyNumberFormat="1" applyBorder="1" applyAlignment="1">
      <alignment horizontal="center"/>
    </xf>
    <xf numFmtId="165" fontId="0" fillId="0" borderId="13" xfId="0" applyNumberFormat="1" applyBorder="1" applyAlignment="1">
      <alignment horizontal="center"/>
    </xf>
    <xf numFmtId="165" fontId="0" fillId="0" borderId="29" xfId="0" applyNumberFormat="1" applyBorder="1" applyAlignment="1">
      <alignment horizontal="center"/>
    </xf>
    <xf numFmtId="165" fontId="0" fillId="0" borderId="30" xfId="0" applyNumberFormat="1" applyBorder="1" applyAlignment="1">
      <alignment horizontal="center"/>
    </xf>
    <xf numFmtId="165" fontId="0" fillId="0" borderId="48" xfId="0" applyNumberFormat="1" applyBorder="1" applyAlignment="1">
      <alignment horizontal="center"/>
    </xf>
    <xf numFmtId="165" fontId="0" fillId="0" borderId="31" xfId="0" applyNumberFormat="1" applyBorder="1" applyAlignment="1">
      <alignment horizontal="center"/>
    </xf>
    <xf numFmtId="0" fontId="1" fillId="0" borderId="0" xfId="0" applyFont="1"/>
    <xf numFmtId="165" fontId="1" fillId="0" borderId="0" xfId="0" applyNumberFormat="1" applyFont="1"/>
    <xf numFmtId="166" fontId="0" fillId="0" borderId="19" xfId="0" applyNumberFormat="1" applyBorder="1" applyAlignment="1">
      <alignment horizontal="center"/>
    </xf>
    <xf numFmtId="0" fontId="0" fillId="0" borderId="32" xfId="0" applyBorder="1" applyAlignment="1">
      <alignment horizontal="center"/>
    </xf>
    <xf numFmtId="0" fontId="0" fillId="0" borderId="37" xfId="0" applyBorder="1" applyAlignment="1">
      <alignment horizontal="center"/>
    </xf>
    <xf numFmtId="0" fontId="0" fillId="0" borderId="41" xfId="0" applyBorder="1" applyAlignment="1">
      <alignment horizontal="center"/>
    </xf>
    <xf numFmtId="0" fontId="0" fillId="0" borderId="43" xfId="0" applyBorder="1" applyAlignment="1">
      <alignment horizontal="center"/>
    </xf>
    <xf numFmtId="165" fontId="0" fillId="0" borderId="45" xfId="0" applyNumberFormat="1" applyBorder="1" applyAlignment="1">
      <alignment horizontal="center"/>
    </xf>
    <xf numFmtId="165" fontId="0" fillId="0" borderId="4" xfId="0" applyNumberFormat="1" applyBorder="1" applyAlignment="1">
      <alignment horizontal="center"/>
    </xf>
    <xf numFmtId="165" fontId="0" fillId="0" borderId="20" xfId="0" applyNumberFormat="1" applyBorder="1" applyAlignment="1">
      <alignment horizontal="center"/>
    </xf>
    <xf numFmtId="0" fontId="0" fillId="0" borderId="0" xfId="0" applyAlignment="1">
      <alignment horizontal="left"/>
    </xf>
    <xf numFmtId="0" fontId="0" fillId="0" borderId="51" xfId="0" applyBorder="1"/>
    <xf numFmtId="0" fontId="0" fillId="3" borderId="27" xfId="0" applyFill="1" applyBorder="1"/>
    <xf numFmtId="0" fontId="0" fillId="3" borderId="28" xfId="0" applyFill="1" applyBorder="1"/>
    <xf numFmtId="0" fontId="0" fillId="0" borderId="27" xfId="0" applyBorder="1"/>
    <xf numFmtId="1" fontId="0" fillId="0" borderId="19" xfId="0" applyNumberFormat="1" applyBorder="1" applyAlignment="1">
      <alignment horizontal="center"/>
    </xf>
    <xf numFmtId="0" fontId="4" fillId="0" borderId="0" xfId="0" applyFont="1" applyAlignment="1">
      <alignment horizontal="center" wrapText="1"/>
    </xf>
    <xf numFmtId="0" fontId="0" fillId="0" borderId="34" xfId="0" applyBorder="1"/>
    <xf numFmtId="0" fontId="0" fillId="0" borderId="25" xfId="0" applyBorder="1"/>
    <xf numFmtId="0" fontId="0" fillId="0" borderId="44" xfId="0" applyBorder="1"/>
    <xf numFmtId="0" fontId="0" fillId="0" borderId="17" xfId="0" applyBorder="1"/>
    <xf numFmtId="0" fontId="0" fillId="0" borderId="13" xfId="0" applyBorder="1"/>
    <xf numFmtId="0" fontId="0" fillId="0" borderId="24" xfId="0" applyBorder="1"/>
    <xf numFmtId="0" fontId="0" fillId="3" borderId="40" xfId="0" applyFill="1" applyBorder="1"/>
    <xf numFmtId="0" fontId="0" fillId="3" borderId="50" xfId="0" applyFill="1" applyBorder="1"/>
    <xf numFmtId="0" fontId="0" fillId="0" borderId="25" xfId="0" applyBorder="1" applyAlignment="1">
      <alignment horizontal="center"/>
    </xf>
    <xf numFmtId="165" fontId="0" fillId="0" borderId="24" xfId="0" applyNumberFormat="1" applyBorder="1" applyAlignment="1">
      <alignment horizontal="center"/>
    </xf>
    <xf numFmtId="2" fontId="0" fillId="0" borderId="40" xfId="0" applyNumberFormat="1" applyBorder="1" applyAlignment="1">
      <alignment horizontal="center"/>
    </xf>
    <xf numFmtId="0" fontId="0" fillId="0" borderId="14" xfId="0" applyBorder="1"/>
    <xf numFmtId="164" fontId="0" fillId="0" borderId="50" xfId="0" applyNumberFormat="1" applyBorder="1"/>
    <xf numFmtId="0" fontId="0" fillId="0" borderId="15" xfId="0" applyBorder="1" applyAlignment="1">
      <alignment horizontal="center"/>
    </xf>
    <xf numFmtId="0" fontId="0" fillId="0" borderId="25" xfId="0" applyBorder="1" applyAlignment="1">
      <alignment horizontal="center"/>
    </xf>
    <xf numFmtId="0" fontId="0" fillId="0" borderId="0" xfId="0" applyAlignment="1">
      <alignment horizontal="center" wrapText="1"/>
    </xf>
    <xf numFmtId="0" fontId="0" fillId="3" borderId="11" xfId="0" applyFill="1" applyBorder="1" applyAlignment="1">
      <alignment horizontal="center"/>
    </xf>
    <xf numFmtId="0" fontId="0" fillId="3" borderId="24" xfId="0" applyFill="1" applyBorder="1" applyAlignment="1">
      <alignment horizontal="center"/>
    </xf>
    <xf numFmtId="0" fontId="0" fillId="3" borderId="23" xfId="0" applyFill="1" applyBorder="1" applyAlignment="1">
      <alignment horizontal="center"/>
    </xf>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34"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4" fillId="0" borderId="0" xfId="0" applyFont="1" applyAlignment="1">
      <alignment horizontal="center" wrapText="1"/>
    </xf>
    <xf numFmtId="0" fontId="4" fillId="0" borderId="0" xfId="0" applyFont="1" applyAlignment="1">
      <alignment horizontal="center"/>
    </xf>
    <xf numFmtId="0" fontId="0" fillId="0" borderId="51" xfId="0" applyBorder="1" applyAlignment="1">
      <alignment horizontal="center"/>
    </xf>
    <xf numFmtId="0" fontId="0" fillId="0" borderId="28" xfId="0" applyBorder="1" applyAlignment="1">
      <alignment horizontal="center"/>
    </xf>
    <xf numFmtId="0" fontId="0" fillId="0" borderId="47" xfId="0" applyBorder="1" applyAlignment="1">
      <alignment horizontal="left"/>
    </xf>
    <xf numFmtId="0" fontId="0" fillId="0" borderId="2" xfId="0" applyBorder="1" applyAlignment="1">
      <alignment horizontal="left"/>
    </xf>
    <xf numFmtId="0" fontId="0" fillId="0" borderId="0" xfId="0" applyAlignment="1">
      <alignment horizontal="center"/>
    </xf>
    <xf numFmtId="0" fontId="5" fillId="0" borderId="0" xfId="0" applyFont="1" applyAlignment="1">
      <alignment horizontal="center"/>
    </xf>
    <xf numFmtId="0" fontId="0" fillId="0" borderId="11" xfId="0" applyBorder="1" applyAlignment="1">
      <alignment horizontal="center"/>
    </xf>
    <xf numFmtId="2" fontId="0" fillId="0" borderId="0" xfId="0" applyNumberFormat="1" applyAlignment="1">
      <alignment horizontal="center"/>
    </xf>
    <xf numFmtId="2" fontId="0" fillId="0" borderId="19" xfId="0" applyNumberFormat="1" applyBorder="1" applyAlignment="1">
      <alignment horizontal="center"/>
    </xf>
    <xf numFmtId="2" fontId="0" fillId="0" borderId="6" xfId="0" applyNumberFormat="1" applyBorder="1" applyAlignment="1">
      <alignment horizontal="center"/>
    </xf>
    <xf numFmtId="2" fontId="0" fillId="0" borderId="35" xfId="0" applyNumberFormat="1" applyBorder="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0" fontId="0" fillId="0" borderId="47" xfId="0" applyBorder="1" applyAlignment="1">
      <alignment horizontal="center"/>
    </xf>
    <xf numFmtId="0" fontId="0" fillId="0" borderId="3" xfId="0" applyBorder="1" applyAlignment="1">
      <alignment horizontal="center"/>
    </xf>
    <xf numFmtId="0" fontId="0" fillId="0" borderId="18" xfId="0" applyBorder="1" applyAlignment="1">
      <alignment horizontal="center"/>
    </xf>
    <xf numFmtId="0" fontId="0" fillId="0" borderId="1" xfId="0" applyBorder="1" applyAlignment="1">
      <alignment horizontal="center"/>
    </xf>
    <xf numFmtId="0" fontId="0" fillId="0" borderId="46" xfId="0" applyBorder="1" applyAlignment="1">
      <alignment horizontal="center"/>
    </xf>
    <xf numFmtId="0" fontId="0" fillId="0" borderId="7" xfId="0" applyBorder="1" applyAlignment="1">
      <alignment horizont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wrapText="1"/>
    </xf>
    <xf numFmtId="0" fontId="0" fillId="0" borderId="26"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8"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46" xfId="0" applyBorder="1" applyAlignment="1">
      <alignment horizontal="center" vertical="center" wrapText="1"/>
    </xf>
    <xf numFmtId="0" fontId="0" fillId="0" borderId="6" xfId="0" applyBorder="1" applyAlignment="1">
      <alignment horizontal="center" vertical="center" wrapText="1"/>
    </xf>
    <xf numFmtId="0" fontId="0" fillId="0" borderId="35" xfId="0" applyBorder="1" applyAlignment="1">
      <alignment horizontal="center" vertical="center" wrapText="1"/>
    </xf>
    <xf numFmtId="0" fontId="0" fillId="0" borderId="4" xfId="0" applyBorder="1" applyAlignment="1">
      <alignment horizontal="center"/>
    </xf>
    <xf numFmtId="0" fontId="0" fillId="0" borderId="20" xfId="0" applyBorder="1" applyAlignment="1">
      <alignment horizontal="center"/>
    </xf>
    <xf numFmtId="0" fontId="0" fillId="0" borderId="2" xfId="0" applyBorder="1" applyAlignment="1">
      <alignment horizontal="center"/>
    </xf>
    <xf numFmtId="0" fontId="0" fillId="0" borderId="26" xfId="0" applyBorder="1" applyAlignment="1">
      <alignment horizontal="center"/>
    </xf>
    <xf numFmtId="0" fontId="0" fillId="0" borderId="45" xfId="0" applyBorder="1" applyAlignment="1">
      <alignment horizontal="left"/>
    </xf>
    <xf numFmtId="0" fontId="0" fillId="0" borderId="4" xfId="0" applyBorder="1" applyAlignment="1">
      <alignment horizontal="left"/>
    </xf>
    <xf numFmtId="0" fontId="0" fillId="0" borderId="46" xfId="0" applyBorder="1" applyAlignment="1">
      <alignment horizontal="left"/>
    </xf>
    <xf numFmtId="0" fontId="0" fillId="0" borderId="6" xfId="0" applyBorder="1" applyAlignment="1">
      <alignment horizontal="left"/>
    </xf>
    <xf numFmtId="0" fontId="0" fillId="0" borderId="16" xfId="0" applyBorder="1" applyAlignment="1">
      <alignment horizontal="center"/>
    </xf>
    <xf numFmtId="164" fontId="0" fillId="0" borderId="51" xfId="0" applyNumberFormat="1" applyBorder="1" applyAlignment="1">
      <alignment horizontal="center"/>
    </xf>
    <xf numFmtId="164" fontId="0" fillId="0" borderId="27" xfId="0" applyNumberFormat="1" applyBorder="1" applyAlignment="1">
      <alignment horizontal="center"/>
    </xf>
    <xf numFmtId="164" fontId="0" fillId="0" borderId="28" xfId="0" applyNumberFormat="1" applyBorder="1" applyAlignment="1">
      <alignment horizontal="center"/>
    </xf>
    <xf numFmtId="164" fontId="0" fillId="0" borderId="21" xfId="0" applyNumberFormat="1" applyBorder="1" applyAlignment="1">
      <alignment horizontal="center"/>
    </xf>
    <xf numFmtId="0" fontId="0" fillId="0" borderId="17" xfId="0" applyBorder="1" applyAlignment="1">
      <alignment horizontal="center"/>
    </xf>
    <xf numFmtId="165" fontId="0" fillId="0" borderId="21" xfId="0" applyNumberFormat="1" applyBorder="1" applyAlignment="1">
      <alignment horizontal="center"/>
    </xf>
    <xf numFmtId="165" fontId="0" fillId="0" borderId="52" xfId="0" applyNumberFormat="1" applyBorder="1" applyAlignment="1">
      <alignment horizontal="center"/>
    </xf>
    <xf numFmtId="2" fontId="0" fillId="0" borderId="27" xfId="0" applyNumberFormat="1" applyBorder="1" applyAlignment="1">
      <alignment horizontal="center"/>
    </xf>
    <xf numFmtId="2" fontId="0" fillId="0" borderId="52" xfId="0" applyNumberFormat="1" applyBorder="1" applyAlignment="1">
      <alignment horizontal="center"/>
    </xf>
    <xf numFmtId="165" fontId="0" fillId="0" borderId="45" xfId="0" applyNumberFormat="1" applyBorder="1" applyAlignment="1">
      <alignment horizontal="center"/>
    </xf>
    <xf numFmtId="165" fontId="0" fillId="0" borderId="4" xfId="0" applyNumberFormat="1" applyBorder="1" applyAlignment="1">
      <alignment horizontal="center"/>
    </xf>
    <xf numFmtId="165" fontId="0" fillId="0" borderId="18" xfId="0" applyNumberFormat="1" applyBorder="1" applyAlignment="1">
      <alignment horizontal="center"/>
    </xf>
    <xf numFmtId="165" fontId="0" fillId="0" borderId="0" xfId="0" applyNumberFormat="1" applyAlignment="1">
      <alignment horizontal="center"/>
    </xf>
    <xf numFmtId="165" fontId="0" fillId="0" borderId="46" xfId="0" applyNumberFormat="1" applyBorder="1" applyAlignment="1">
      <alignment horizontal="center"/>
    </xf>
    <xf numFmtId="165" fontId="0" fillId="0" borderId="6" xfId="0" applyNumberFormat="1" applyBorder="1" applyAlignment="1">
      <alignment horizontal="center"/>
    </xf>
    <xf numFmtId="0" fontId="4" fillId="0" borderId="37" xfId="0" applyFont="1" applyBorder="1" applyAlignment="1">
      <alignment horizontal="center" vertical="center" wrapText="1"/>
    </xf>
    <xf numFmtId="0" fontId="4" fillId="0" borderId="33" xfId="0" applyFont="1" applyBorder="1" applyAlignment="1">
      <alignment horizontal="center" vertical="center" wrapText="1"/>
    </xf>
    <xf numFmtId="165" fontId="0" fillId="0" borderId="11" xfId="0" applyNumberFormat="1" applyBorder="1" applyAlignment="1">
      <alignment horizontal="center"/>
    </xf>
    <xf numFmtId="165" fontId="0" fillId="0" borderId="24" xfId="0" applyNumberFormat="1" applyBorder="1" applyAlignment="1">
      <alignment horizontal="center"/>
    </xf>
    <xf numFmtId="164" fontId="0" fillId="0" borderId="12" xfId="0" applyNumberFormat="1" applyBorder="1" applyAlignment="1">
      <alignment horizontal="center"/>
    </xf>
    <xf numFmtId="164" fontId="0" fillId="0" borderId="13" xfId="0" applyNumberFormat="1"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27" xfId="0" applyBorder="1" applyAlignment="1">
      <alignment horizontal="center"/>
    </xf>
    <xf numFmtId="0" fontId="0" fillId="0" borderId="22" xfId="0" applyBorder="1" applyAlignment="1">
      <alignment horizontal="left"/>
    </xf>
    <xf numFmtId="0" fontId="0" fillId="0" borderId="5" xfId="0" applyBorder="1" applyAlignment="1">
      <alignment horizontal="left"/>
    </xf>
    <xf numFmtId="0" fontId="0" fillId="0" borderId="21" xfId="0" applyBorder="1" applyAlignment="1">
      <alignment horizontal="left"/>
    </xf>
    <xf numFmtId="0" fontId="0" fillId="0" borderId="27" xfId="0" applyBorder="1" applyAlignment="1">
      <alignment horizontal="left"/>
    </xf>
    <xf numFmtId="0" fontId="0" fillId="0" borderId="28" xfId="0" applyBorder="1" applyAlignment="1">
      <alignment horizontal="left"/>
    </xf>
    <xf numFmtId="0" fontId="3" fillId="0" borderId="8" xfId="0" applyFont="1" applyBorder="1" applyAlignment="1">
      <alignment horizontal="left"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3" fillId="0" borderId="12" xfId="0" applyFont="1" applyBorder="1" applyAlignment="1">
      <alignment horizontal="left" wrapText="1"/>
    </xf>
    <xf numFmtId="0" fontId="3" fillId="0" borderId="13" xfId="0" applyFont="1" applyBorder="1" applyAlignment="1">
      <alignment horizontal="left" wrapText="1"/>
    </xf>
    <xf numFmtId="165" fontId="0" fillId="0" borderId="20" xfId="0" applyNumberFormat="1" applyBorder="1" applyAlignment="1">
      <alignment horizontal="center"/>
    </xf>
    <xf numFmtId="164" fontId="0" fillId="0" borderId="11" xfId="0" applyNumberFormat="1" applyBorder="1" applyAlignment="1">
      <alignment horizontal="center"/>
    </xf>
    <xf numFmtId="164" fontId="0" fillId="0" borderId="24" xfId="0" applyNumberForma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0" fillId="0" borderId="34" xfId="0" applyBorder="1" applyAlignment="1">
      <alignment horizontal="left"/>
    </xf>
    <xf numFmtId="0" fontId="0" fillId="0" borderId="16" xfId="0" applyBorder="1" applyAlignment="1">
      <alignment horizontal="left"/>
    </xf>
    <xf numFmtId="0" fontId="0" fillId="0" borderId="25" xfId="0" applyBorder="1" applyAlignment="1">
      <alignment horizontal="left"/>
    </xf>
    <xf numFmtId="0" fontId="0" fillId="0" borderId="22" xfId="0" applyBorder="1" applyAlignment="1">
      <alignment horizontal="center"/>
    </xf>
    <xf numFmtId="0" fontId="0" fillId="0" borderId="5" xfId="0" applyBorder="1" applyAlignment="1">
      <alignment horizontal="center"/>
    </xf>
    <xf numFmtId="0" fontId="4" fillId="0" borderId="34" xfId="0" applyFont="1" applyBorder="1" applyAlignment="1">
      <alignment horizontal="center"/>
    </xf>
    <xf numFmtId="0" fontId="4" fillId="0" borderId="17" xfId="0" applyFont="1" applyBorder="1" applyAlignment="1">
      <alignment horizontal="center"/>
    </xf>
    <xf numFmtId="0" fontId="0" fillId="4" borderId="22" xfId="0" applyFill="1" applyBorder="1" applyAlignment="1">
      <alignment horizontal="center"/>
    </xf>
    <xf numFmtId="0" fontId="0" fillId="4" borderId="20" xfId="0" applyFill="1" applyBorder="1" applyAlignment="1">
      <alignment horizontal="center"/>
    </xf>
    <xf numFmtId="0" fontId="0" fillId="4" borderId="21" xfId="0" applyFill="1" applyBorder="1" applyAlignment="1">
      <alignment horizontal="center"/>
    </xf>
    <xf numFmtId="0" fontId="0" fillId="4" borderId="52" xfId="0" applyFill="1" applyBorder="1" applyAlignment="1">
      <alignment horizontal="center"/>
    </xf>
    <xf numFmtId="0" fontId="0" fillId="4" borderId="5" xfId="0" applyFill="1" applyBorder="1" applyAlignment="1">
      <alignment horizontal="center"/>
    </xf>
    <xf numFmtId="0" fontId="0" fillId="0" borderId="23" xfId="0" quotePrefix="1" applyBorder="1" applyAlignment="1">
      <alignment horizontal="center"/>
    </xf>
    <xf numFmtId="0" fontId="0" fillId="4" borderId="23" xfId="0" applyFill="1" applyBorder="1" applyAlignment="1">
      <alignment horizontal="center"/>
    </xf>
    <xf numFmtId="0" fontId="0" fillId="4" borderId="24" xfId="0" applyFill="1" applyBorder="1" applyAlignment="1">
      <alignment horizontal="center"/>
    </xf>
    <xf numFmtId="0" fontId="0" fillId="0" borderId="45" xfId="0" applyBorder="1" applyAlignment="1">
      <alignment horizontal="center"/>
    </xf>
    <xf numFmtId="0" fontId="4" fillId="0" borderId="25" xfId="0" applyFont="1" applyBorder="1" applyAlignment="1">
      <alignment horizontal="center"/>
    </xf>
    <xf numFmtId="0" fontId="0" fillId="0" borderId="22" xfId="0" quotePrefix="1" applyBorder="1" applyAlignment="1">
      <alignment horizontal="center"/>
    </xf>
  </cellXfs>
  <cellStyles count="1">
    <cellStyle name="Normal" xfId="0" builtinId="0"/>
  </cellStyles>
  <dxfs count="13">
    <dxf>
      <fill>
        <patternFill>
          <bgColor theme="5" tint="0.79998168889431442"/>
        </patternFill>
      </fill>
    </dxf>
    <dxf>
      <fill>
        <patternFill>
          <bgColor rgb="FFFF66FF"/>
        </patternFill>
      </fill>
    </dxf>
    <dxf>
      <fill>
        <patternFill>
          <bgColor theme="2"/>
        </patternFill>
      </fill>
    </dxf>
    <dxf>
      <fill>
        <patternFill>
          <bgColor rgb="FFFFFF00"/>
        </patternFill>
      </fill>
    </dxf>
    <dxf>
      <fill>
        <patternFill>
          <bgColor rgb="FFFF0000"/>
        </patternFill>
      </fill>
    </dxf>
    <dxf>
      <fill>
        <patternFill>
          <bgColor rgb="FF00B0F0"/>
        </patternFill>
      </fill>
    </dxf>
    <dxf>
      <fill>
        <patternFill>
          <bgColor rgb="FF00B050"/>
        </patternFill>
      </fill>
    </dxf>
    <dxf>
      <fill>
        <patternFill>
          <bgColor rgb="FFFF0000"/>
        </patternFill>
      </fill>
    </dxf>
    <dxf>
      <fill>
        <patternFill>
          <bgColor rgb="FFFF66FF"/>
        </patternFill>
      </fill>
    </dxf>
    <dxf>
      <fill>
        <patternFill>
          <bgColor theme="2"/>
        </patternFill>
      </fill>
    </dxf>
    <dxf>
      <fill>
        <patternFill>
          <bgColor rgb="FFFFFF00"/>
        </patternFill>
      </fill>
    </dxf>
    <dxf>
      <fill>
        <patternFill>
          <bgColor rgb="FFFF0000"/>
        </patternFill>
      </fill>
    </dxf>
    <dxf>
      <fill>
        <patternFill>
          <bgColor rgb="FF00B0F0"/>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699AC-051D-436B-B5F0-22B9FE39D0B6}">
  <sheetPr>
    <tabColor rgb="FF00B050"/>
  </sheetPr>
  <dimension ref="A1:U27"/>
  <sheetViews>
    <sheetView tabSelected="1" workbookViewId="0">
      <selection activeCell="H31" sqref="H31"/>
    </sheetView>
  </sheetViews>
  <sheetFormatPr defaultColWidth="8.88671875" defaultRowHeight="14.4" x14ac:dyDescent="0.3"/>
  <cols>
    <col min="1" max="1" width="8.88671875" customWidth="1"/>
  </cols>
  <sheetData>
    <row r="1" spans="1:21" ht="14.4" customHeight="1" x14ac:dyDescent="0.3">
      <c r="A1" s="94" t="s">
        <v>0</v>
      </c>
      <c r="B1" s="94"/>
      <c r="C1" s="94"/>
      <c r="D1" s="94"/>
      <c r="E1" s="94"/>
      <c r="F1" s="94"/>
      <c r="G1" s="94"/>
      <c r="H1" s="94"/>
      <c r="I1" s="94"/>
      <c r="J1" s="94"/>
      <c r="K1" s="94"/>
      <c r="L1" s="94"/>
      <c r="M1" s="94"/>
      <c r="N1" s="94"/>
    </row>
    <row r="2" spans="1:21" x14ac:dyDescent="0.3">
      <c r="A2" s="94"/>
      <c r="B2" s="94"/>
      <c r="C2" s="94"/>
      <c r="D2" s="94"/>
      <c r="E2" s="94"/>
      <c r="F2" s="94"/>
      <c r="G2" s="94"/>
      <c r="H2" s="94"/>
      <c r="I2" s="94"/>
      <c r="J2" s="94"/>
      <c r="K2" s="94"/>
      <c r="L2" s="94"/>
      <c r="M2" s="94"/>
      <c r="N2" s="94"/>
    </row>
    <row r="3" spans="1:21" x14ac:dyDescent="0.3">
      <c r="A3" s="65"/>
      <c r="B3" s="65"/>
      <c r="C3" s="65"/>
      <c r="D3" s="65"/>
      <c r="E3" s="65"/>
      <c r="F3" s="65"/>
      <c r="G3" s="65"/>
      <c r="H3" s="65"/>
      <c r="I3" s="65"/>
      <c r="J3" s="65"/>
      <c r="K3" s="65"/>
      <c r="L3" s="65"/>
      <c r="M3" s="65"/>
      <c r="N3" s="65"/>
    </row>
    <row r="4" spans="1:21" ht="14.4" customHeight="1" x14ac:dyDescent="0.3">
      <c r="A4" s="94" t="s">
        <v>166</v>
      </c>
      <c r="B4" s="94"/>
      <c r="C4" s="94"/>
      <c r="D4" s="94"/>
      <c r="E4" s="94"/>
      <c r="F4" s="94"/>
      <c r="G4" s="94"/>
      <c r="H4" s="94"/>
      <c r="I4" s="94"/>
      <c r="J4" s="94"/>
      <c r="K4" s="94"/>
      <c r="L4" s="94"/>
      <c r="M4" s="94"/>
      <c r="N4" s="94"/>
    </row>
    <row r="5" spans="1:21" x14ac:dyDescent="0.3">
      <c r="A5" s="94"/>
      <c r="B5" s="94"/>
      <c r="C5" s="94"/>
      <c r="D5" s="94"/>
      <c r="E5" s="94"/>
      <c r="F5" s="94"/>
      <c r="G5" s="94"/>
      <c r="H5" s="94"/>
      <c r="I5" s="94"/>
      <c r="J5" s="94"/>
      <c r="K5" s="94"/>
      <c r="L5" s="94"/>
      <c r="M5" s="94"/>
      <c r="N5" s="94"/>
    </row>
    <row r="6" spans="1:21" x14ac:dyDescent="0.3">
      <c r="A6" s="94"/>
      <c r="B6" s="94"/>
      <c r="C6" s="94"/>
      <c r="D6" s="94"/>
      <c r="E6" s="94"/>
      <c r="F6" s="94"/>
      <c r="G6" s="94"/>
      <c r="H6" s="94"/>
      <c r="I6" s="94"/>
      <c r="J6" s="94"/>
      <c r="K6" s="94"/>
      <c r="L6" s="94"/>
      <c r="M6" s="94"/>
      <c r="N6" s="94"/>
    </row>
    <row r="7" spans="1:21" x14ac:dyDescent="0.3">
      <c r="A7" s="33"/>
      <c r="B7" s="33"/>
      <c r="C7" s="33"/>
      <c r="D7" s="33"/>
      <c r="E7" s="33"/>
      <c r="F7" s="33"/>
      <c r="G7" s="33"/>
      <c r="H7" s="33"/>
      <c r="I7" s="33"/>
      <c r="J7" s="33"/>
      <c r="K7" s="33"/>
      <c r="L7" s="33"/>
      <c r="M7" s="33"/>
      <c r="N7" s="33"/>
    </row>
    <row r="8" spans="1:21" x14ac:dyDescent="0.3">
      <c r="A8" s="94" t="s">
        <v>165</v>
      </c>
      <c r="B8" s="94"/>
      <c r="C8" s="94"/>
      <c r="D8" s="94"/>
      <c r="E8" s="94"/>
      <c r="F8" s="94"/>
      <c r="G8" s="94"/>
      <c r="H8" s="94"/>
      <c r="I8" s="94"/>
      <c r="J8" s="94"/>
      <c r="K8" s="94"/>
      <c r="L8" s="94"/>
      <c r="M8" s="94"/>
      <c r="N8" s="94"/>
    </row>
    <row r="9" spans="1:21" x14ac:dyDescent="0.3">
      <c r="A9" s="94"/>
      <c r="B9" s="94"/>
      <c r="C9" s="94"/>
      <c r="D9" s="94"/>
      <c r="E9" s="94"/>
      <c r="F9" s="94"/>
      <c r="G9" s="94"/>
      <c r="H9" s="94"/>
      <c r="I9" s="94"/>
      <c r="J9" s="94"/>
      <c r="K9" s="94"/>
      <c r="L9" s="94"/>
      <c r="M9" s="94"/>
      <c r="N9" s="94"/>
    </row>
    <row r="10" spans="1:21" x14ac:dyDescent="0.3">
      <c r="A10" s="65"/>
      <c r="B10" s="65"/>
      <c r="C10" s="65"/>
      <c r="D10" s="65"/>
      <c r="E10" s="65"/>
      <c r="F10" s="65"/>
      <c r="G10" s="65"/>
      <c r="H10" s="65"/>
      <c r="I10" s="65"/>
      <c r="J10" s="65"/>
      <c r="K10" s="65"/>
      <c r="L10" s="65"/>
      <c r="M10" s="65"/>
      <c r="N10" s="65"/>
    </row>
    <row r="11" spans="1:21" x14ac:dyDescent="0.3">
      <c r="A11" s="94" t="s">
        <v>137</v>
      </c>
      <c r="B11" s="94"/>
      <c r="C11" s="94"/>
      <c r="D11" s="94"/>
      <c r="E11" s="94"/>
      <c r="F11" s="94"/>
      <c r="G11" s="94"/>
      <c r="H11" s="94"/>
      <c r="I11" s="94"/>
      <c r="J11" s="94"/>
      <c r="K11" s="94"/>
      <c r="L11" s="94"/>
      <c r="M11" s="94"/>
      <c r="N11" s="94"/>
    </row>
    <row r="12" spans="1:21" x14ac:dyDescent="0.3">
      <c r="A12" s="94"/>
      <c r="B12" s="94"/>
      <c r="C12" s="94"/>
      <c r="D12" s="94"/>
      <c r="E12" s="94"/>
      <c r="F12" s="94"/>
      <c r="G12" s="94"/>
      <c r="H12" s="94"/>
      <c r="I12" s="94"/>
      <c r="J12" s="94"/>
      <c r="K12" s="94"/>
      <c r="L12" s="94"/>
      <c r="M12" s="94"/>
      <c r="N12" s="94"/>
    </row>
    <row r="13" spans="1:21" x14ac:dyDescent="0.3">
      <c r="A13" s="65"/>
      <c r="B13" s="65"/>
      <c r="C13" s="65"/>
      <c r="D13" s="65"/>
      <c r="E13" s="65"/>
      <c r="F13" s="65"/>
      <c r="G13" s="65"/>
      <c r="H13" s="65"/>
      <c r="I13" s="65"/>
      <c r="J13" s="65"/>
      <c r="K13" s="65"/>
      <c r="L13" s="65"/>
      <c r="M13" s="65"/>
      <c r="N13" s="65"/>
    </row>
    <row r="14" spans="1:21" x14ac:dyDescent="0.3">
      <c r="A14" s="95" t="s">
        <v>153</v>
      </c>
      <c r="B14" s="95"/>
      <c r="C14" s="95"/>
      <c r="D14" s="95"/>
      <c r="E14" s="95"/>
      <c r="F14" s="95"/>
      <c r="G14" s="95"/>
      <c r="H14" s="95"/>
      <c r="I14" s="95"/>
      <c r="J14" s="95"/>
      <c r="K14" s="95"/>
      <c r="L14" s="95"/>
      <c r="M14" s="95"/>
      <c r="N14" s="95"/>
    </row>
    <row r="15" spans="1:21" ht="15" thickBot="1" x14ac:dyDescent="0.35">
      <c r="A15" s="2"/>
      <c r="B15" s="2"/>
      <c r="C15" s="2"/>
      <c r="D15" s="2"/>
      <c r="E15" s="2"/>
      <c r="F15" s="2"/>
      <c r="G15" s="2"/>
      <c r="H15" s="2"/>
      <c r="I15" s="2"/>
      <c r="J15" s="2"/>
      <c r="K15" s="2"/>
      <c r="L15" s="2"/>
      <c r="M15" s="2"/>
      <c r="N15" s="2"/>
    </row>
    <row r="16" spans="1:21" s="2" customFormat="1" ht="43.2" x14ac:dyDescent="0.3">
      <c r="A16" s="35" t="s">
        <v>4</v>
      </c>
      <c r="B16" s="8" t="s">
        <v>2</v>
      </c>
      <c r="C16" s="32" t="s">
        <v>3</v>
      </c>
      <c r="D16" s="8" t="s">
        <v>5</v>
      </c>
      <c r="E16" s="8" t="s">
        <v>6</v>
      </c>
      <c r="F16" s="8" t="s">
        <v>141</v>
      </c>
      <c r="G16" s="8" t="s">
        <v>142</v>
      </c>
      <c r="H16" s="8" t="s">
        <v>143</v>
      </c>
      <c r="I16" s="8" t="s">
        <v>144</v>
      </c>
      <c r="J16" s="8" t="s">
        <v>145</v>
      </c>
      <c r="K16" s="8" t="s">
        <v>146</v>
      </c>
      <c r="L16" s="8" t="s">
        <v>147</v>
      </c>
      <c r="M16" s="8" t="s">
        <v>148</v>
      </c>
      <c r="N16" s="8" t="s">
        <v>149</v>
      </c>
      <c r="O16" s="32" t="s">
        <v>150</v>
      </c>
      <c r="P16" s="8" t="s">
        <v>9</v>
      </c>
      <c r="Q16" s="32" t="s">
        <v>1</v>
      </c>
      <c r="R16" s="8" t="s">
        <v>10</v>
      </c>
      <c r="S16" s="13" t="s">
        <v>151</v>
      </c>
      <c r="U16" s="41" t="s">
        <v>154</v>
      </c>
    </row>
    <row r="17" spans="1:21" ht="15" thickBot="1" x14ac:dyDescent="0.35">
      <c r="A17" s="60" t="s">
        <v>11</v>
      </c>
      <c r="B17" s="61"/>
      <c r="C17" s="62"/>
      <c r="D17" s="63"/>
      <c r="E17" s="61"/>
      <c r="F17" s="61"/>
      <c r="G17" s="61"/>
      <c r="H17" s="61"/>
      <c r="I17" s="61"/>
      <c r="J17" s="61"/>
      <c r="K17" s="36"/>
      <c r="L17" s="36"/>
      <c r="M17" s="36"/>
      <c r="N17" s="36"/>
      <c r="O17" s="37"/>
      <c r="P17" s="7"/>
      <c r="Q17" s="37"/>
      <c r="R17" s="7"/>
      <c r="S17" s="38"/>
      <c r="U17" s="73"/>
    </row>
    <row r="19" spans="1:21" x14ac:dyDescent="0.3">
      <c r="A19" s="81" t="s">
        <v>174</v>
      </c>
      <c r="B19" s="81"/>
      <c r="C19" s="81"/>
      <c r="D19" s="81"/>
      <c r="E19" s="81"/>
      <c r="F19" s="81"/>
      <c r="G19" s="81"/>
      <c r="H19" s="81"/>
      <c r="I19" s="81"/>
      <c r="J19" s="81"/>
      <c r="K19" s="81"/>
      <c r="L19" s="81"/>
      <c r="M19" s="81"/>
      <c r="N19" s="81"/>
    </row>
    <row r="20" spans="1:21" x14ac:dyDescent="0.3">
      <c r="A20" s="81"/>
      <c r="B20" s="81"/>
      <c r="C20" s="81"/>
      <c r="D20" s="81"/>
      <c r="E20" s="81"/>
      <c r="F20" s="81"/>
      <c r="G20" s="81"/>
      <c r="H20" s="81"/>
      <c r="I20" s="81"/>
      <c r="J20" s="81"/>
      <c r="K20" s="81"/>
      <c r="L20" s="81"/>
      <c r="M20" s="81"/>
      <c r="N20" s="81"/>
    </row>
    <row r="21" spans="1:21" ht="15" thickBot="1" x14ac:dyDescent="0.35"/>
    <row r="22" spans="1:21" x14ac:dyDescent="0.3">
      <c r="A22" s="79" t="s">
        <v>173</v>
      </c>
      <c r="B22" s="80"/>
      <c r="C22" s="66" t="s">
        <v>175</v>
      </c>
      <c r="D22" s="67"/>
      <c r="E22" s="68" t="s">
        <v>167</v>
      </c>
      <c r="F22" s="68" t="s">
        <v>168</v>
      </c>
      <c r="G22" s="68" t="s">
        <v>169</v>
      </c>
      <c r="H22" s="69" t="s">
        <v>170</v>
      </c>
    </row>
    <row r="23" spans="1:21" ht="15" thickBot="1" x14ac:dyDescent="0.35">
      <c r="A23" s="82"/>
      <c r="B23" s="83"/>
      <c r="C23" s="84"/>
      <c r="D23" s="83"/>
      <c r="E23" s="72"/>
      <c r="F23" s="72"/>
      <c r="G23" s="72"/>
      <c r="H23" s="38"/>
    </row>
    <row r="24" spans="1:21" ht="15" thickBot="1" x14ac:dyDescent="0.35"/>
    <row r="25" spans="1:21" x14ac:dyDescent="0.3">
      <c r="A25" s="79" t="s">
        <v>179</v>
      </c>
      <c r="B25" s="80"/>
      <c r="C25" s="91" t="s">
        <v>178</v>
      </c>
      <c r="D25" s="80"/>
      <c r="E25" s="91" t="s">
        <v>143</v>
      </c>
      <c r="F25" s="80"/>
      <c r="G25" s="69" t="s">
        <v>180</v>
      </c>
      <c r="H25" s="85" t="s">
        <v>181</v>
      </c>
      <c r="I25" s="86"/>
      <c r="J25" s="86"/>
      <c r="K25" s="87"/>
    </row>
    <row r="26" spans="1:21" ht="15" thickBot="1" x14ac:dyDescent="0.35">
      <c r="A26" s="6"/>
      <c r="B26" s="71"/>
      <c r="C26" s="92">
        <f>Calculations!AP3</f>
        <v>0</v>
      </c>
      <c r="D26" s="93"/>
      <c r="E26" s="92">
        <f>Calculations!AO3</f>
        <v>0</v>
      </c>
      <c r="F26" s="93"/>
      <c r="G26" s="70">
        <f>Calculations!AS3</f>
        <v>0</v>
      </c>
      <c r="H26" s="88"/>
      <c r="I26" s="89"/>
      <c r="J26" s="89"/>
      <c r="K26" s="90"/>
    </row>
    <row r="27" spans="1:21" x14ac:dyDescent="0.3">
      <c r="B27" s="59"/>
      <c r="C27" s="59"/>
      <c r="D27" s="59"/>
      <c r="E27" s="59"/>
      <c r="F27" s="59"/>
      <c r="G27" s="59"/>
    </row>
  </sheetData>
  <mergeCells count="15">
    <mergeCell ref="A1:N2"/>
    <mergeCell ref="A4:N6"/>
    <mergeCell ref="A8:N9"/>
    <mergeCell ref="A11:N12"/>
    <mergeCell ref="A14:N14"/>
    <mergeCell ref="A25:B25"/>
    <mergeCell ref="A19:N20"/>
    <mergeCell ref="A22:B22"/>
    <mergeCell ref="A23:B23"/>
    <mergeCell ref="C23:D23"/>
    <mergeCell ref="H25:K26"/>
    <mergeCell ref="C25:D25"/>
    <mergeCell ref="E25:F25"/>
    <mergeCell ref="C26:D26"/>
    <mergeCell ref="E26:F26"/>
  </mergeCells>
  <conditionalFormatting sqref="H21">
    <cfRule type="containsText" dxfId="12" priority="7" stopIfTrue="1" operator="containsText" text="Yes">
      <formula>NOT(ISERROR(SEARCH("Yes",H21)))</formula>
    </cfRule>
  </conditionalFormatting>
  <conditionalFormatting sqref="E22:I22 A25">
    <cfRule type="containsText" dxfId="11" priority="6" stopIfTrue="1" operator="containsText" text="Yes">
      <formula>NOT(ISERROR(SEARCH("Yes",A22)))</formula>
    </cfRule>
  </conditionalFormatting>
  <conditionalFormatting sqref="H23">
    <cfRule type="containsText" dxfId="10" priority="5" stopIfTrue="1" operator="containsText" text="Yes">
      <formula>NOT(ISERROR(SEARCH("Yes",H23)))</formula>
    </cfRule>
  </conditionalFormatting>
  <conditionalFormatting sqref="H24">
    <cfRule type="containsText" dxfId="9" priority="4" stopIfTrue="1" operator="containsText" text="Yes">
      <formula>NOT(ISERROR(SEARCH("Yes",H24)))</formula>
    </cfRule>
  </conditionalFormatting>
  <conditionalFormatting sqref="H25">
    <cfRule type="containsText" dxfId="8" priority="3" stopIfTrue="1" operator="containsText" text="Yes">
      <formula>NOT(ISERROR(SEARCH("Yes",H25)))</formula>
    </cfRule>
  </conditionalFormatting>
  <conditionalFormatting sqref="C25">
    <cfRule type="containsText" dxfId="7" priority="1" stopIfTrue="1" operator="containsText" text="Yes">
      <formula>NOT(ISERROR(SEARCH("Yes",C25)))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0DF87-8B5B-445C-994D-785C5966DC14}">
  <sheetPr>
    <tabColor rgb="FF00B050"/>
  </sheetPr>
  <dimension ref="A1:Y48"/>
  <sheetViews>
    <sheetView zoomScale="80" zoomScaleNormal="80" workbookViewId="0">
      <selection activeCell="K33" sqref="K33"/>
    </sheetView>
  </sheetViews>
  <sheetFormatPr defaultRowHeight="14.4" x14ac:dyDescent="0.3"/>
  <cols>
    <col min="14" max="14" width="10" bestFit="1" customWidth="1"/>
  </cols>
  <sheetData>
    <row r="1" spans="1:22" x14ac:dyDescent="0.3">
      <c r="A1" s="100" t="s">
        <v>21</v>
      </c>
      <c r="B1" s="100"/>
      <c r="C1" s="100"/>
      <c r="D1" s="100"/>
      <c r="E1" s="100"/>
      <c r="F1" s="100"/>
      <c r="G1" s="100"/>
      <c r="H1" s="100"/>
      <c r="I1" s="100"/>
      <c r="J1" s="100"/>
      <c r="K1" s="100"/>
      <c r="L1" s="100"/>
      <c r="M1" s="100"/>
      <c r="N1" s="100"/>
      <c r="O1" s="100"/>
      <c r="P1" s="100"/>
      <c r="Q1" s="100"/>
      <c r="R1" s="100"/>
      <c r="S1" s="100"/>
    </row>
    <row r="3" spans="1:22" x14ac:dyDescent="0.3">
      <c r="A3" s="81" t="s">
        <v>195</v>
      </c>
      <c r="B3" s="81"/>
      <c r="C3" s="81"/>
      <c r="D3" s="81"/>
      <c r="E3" s="81"/>
      <c r="F3" s="81"/>
      <c r="G3" s="81"/>
      <c r="H3" s="81"/>
      <c r="I3" s="81"/>
      <c r="J3" s="81"/>
      <c r="K3" s="81"/>
      <c r="L3" s="81"/>
      <c r="M3" s="81"/>
      <c r="N3" s="81"/>
      <c r="O3" s="81"/>
      <c r="P3" s="81"/>
      <c r="Q3" s="81"/>
      <c r="R3" s="81"/>
      <c r="S3" s="81"/>
    </row>
    <row r="4" spans="1:22" x14ac:dyDescent="0.3">
      <c r="A4" s="81"/>
      <c r="B4" s="81"/>
      <c r="C4" s="81"/>
      <c r="D4" s="81"/>
      <c r="E4" s="81"/>
      <c r="F4" s="81"/>
      <c r="G4" s="81"/>
      <c r="H4" s="81"/>
      <c r="I4" s="81"/>
      <c r="J4" s="81"/>
      <c r="K4" s="81"/>
      <c r="L4" s="81"/>
      <c r="M4" s="81"/>
      <c r="N4" s="81"/>
      <c r="O4" s="81"/>
      <c r="P4" s="81"/>
      <c r="Q4" s="81"/>
      <c r="R4" s="81"/>
      <c r="S4" s="81"/>
    </row>
    <row r="5" spans="1:22" x14ac:dyDescent="0.3">
      <c r="A5" s="1"/>
      <c r="B5" s="1"/>
      <c r="C5" s="1"/>
      <c r="D5" s="1"/>
      <c r="E5" s="1"/>
      <c r="F5" s="1"/>
      <c r="G5" s="1"/>
      <c r="H5" s="1"/>
      <c r="I5" s="1"/>
      <c r="J5" s="1"/>
      <c r="K5" s="1"/>
      <c r="L5" s="1"/>
      <c r="M5" s="1"/>
      <c r="N5" s="1"/>
      <c r="O5" s="1"/>
      <c r="P5" s="1"/>
      <c r="Q5" s="1"/>
      <c r="R5" s="1"/>
      <c r="S5" s="1"/>
    </row>
    <row r="6" spans="1:22" x14ac:dyDescent="0.3">
      <c r="A6" s="101" t="s">
        <v>38</v>
      </c>
      <c r="B6" s="101"/>
      <c r="C6" s="101"/>
      <c r="D6" s="101"/>
      <c r="E6" s="101"/>
      <c r="F6" s="101"/>
      <c r="G6" s="101"/>
      <c r="H6" s="101"/>
      <c r="I6" s="101"/>
      <c r="J6" s="101"/>
      <c r="K6" s="101"/>
      <c r="L6" s="101"/>
      <c r="M6" s="101"/>
      <c r="N6" s="101"/>
      <c r="O6" s="101"/>
      <c r="P6" s="101"/>
      <c r="Q6" s="101"/>
      <c r="R6" s="101"/>
      <c r="S6" s="101"/>
    </row>
    <row r="7" spans="1:22" ht="15" thickBot="1" x14ac:dyDescent="0.35"/>
    <row r="8" spans="1:22" ht="14.4" customHeight="1" x14ac:dyDescent="0.3">
      <c r="B8" s="16" t="s">
        <v>46</v>
      </c>
      <c r="C8" s="91" t="s">
        <v>188</v>
      </c>
      <c r="D8" s="140"/>
      <c r="E8" s="140"/>
      <c r="F8" s="80"/>
      <c r="G8" s="91" t="s">
        <v>52</v>
      </c>
      <c r="H8" s="140"/>
      <c r="I8" s="140"/>
      <c r="J8" s="140"/>
      <c r="K8" s="140"/>
      <c r="L8" s="140"/>
      <c r="M8" s="80"/>
      <c r="N8" s="30" t="s">
        <v>51</v>
      </c>
      <c r="O8" s="74" t="s">
        <v>44</v>
      </c>
      <c r="P8" s="20" t="s">
        <v>45</v>
      </c>
      <c r="Q8" s="85" t="s">
        <v>187</v>
      </c>
      <c r="R8" s="86"/>
      <c r="S8" s="86"/>
      <c r="T8" s="86"/>
      <c r="U8" s="86"/>
      <c r="V8" s="87"/>
    </row>
    <row r="9" spans="1:22" ht="15" thickBot="1" x14ac:dyDescent="0.35">
      <c r="B9" s="43" t="str" cm="1">
        <f t="array" ref="B9">IFERROR((_xlfn.IFS(AND(G9="Octahedrally Trending",Results!W35="Yes"),Calculations!J9,Calculations!E3="Octahedrally Trending",Calculations!F9,Calculations!E3="Tetrahedrally Trending",Calculations!B9))," ")</f>
        <v xml:space="preserve"> </v>
      </c>
      <c r="C9" s="92" t="str" cm="1">
        <f t="array" ref="C9">IFERROR((_xlfn.IFS(B9=" "," ",B9&lt;0.9965, "Octahedral",0.9985&lt;B9, "Tetrahedral", AND(0.9965&lt;=B9,B9&lt;=0.9985), "Normal"))," ")</f>
        <v xml:space="preserve"> </v>
      </c>
      <c r="D9" s="162"/>
      <c r="E9" s="162"/>
      <c r="F9" s="93"/>
      <c r="G9" s="163" t="str">
        <f>IFERROR((IF(Calculations!C3&gt;Calculations!D3,"Octahedrally Trending","Tetrahedrally Trending"))," ")</f>
        <v xml:space="preserve"> </v>
      </c>
      <c r="H9" s="164"/>
      <c r="I9" s="164"/>
      <c r="J9" s="164"/>
      <c r="K9" s="164"/>
      <c r="L9" s="164"/>
      <c r="M9" s="97"/>
      <c r="N9" s="76" t="str" cm="1">
        <f t="array" ref="N9">IFERROR((_xlfn.IFS(G9="Tetrahedrally Trending",Calculations!B10,AND(G9="Octahedrally Trending",W35="Yes"),Calculations!J10,G9="Octahedrally Trending",Calculations!F10))," ")</f>
        <v xml:space="preserve"> </v>
      </c>
      <c r="O9" s="75" t="str" cm="1">
        <f t="array" ref="O9">IFERROR((_xlfn.IFS(AND(G9="Octahedrally Trending",Results!W35="Yes"),Calculations!J7,G9="Octahedrally Trending",Calculations!F7,G9="Tetrahedrally Trending",Calculations!B7))," ")</f>
        <v xml:space="preserve"> </v>
      </c>
      <c r="P9" s="44" t="str" cm="1">
        <f t="array" ref="P9">IFERROR((_xlfn.IFS(AND(G9="Octahedrally Trending",Results!W35="Yes"),Calculations!J8,G9="Octahedrally Trending",Calculations!F8,G9="Tetrahedrally Trending",Calculations!B8))," ")</f>
        <v xml:space="preserve"> </v>
      </c>
      <c r="Q9" s="88"/>
      <c r="R9" s="89"/>
      <c r="S9" s="89"/>
      <c r="T9" s="89"/>
      <c r="U9" s="89"/>
      <c r="V9" s="90"/>
    </row>
    <row r="10" spans="1:22" ht="15" thickBot="1" x14ac:dyDescent="0.35"/>
    <row r="11" spans="1:22" x14ac:dyDescent="0.3">
      <c r="B11" s="79" t="s">
        <v>163</v>
      </c>
      <c r="C11" s="80"/>
      <c r="D11" s="140" t="s">
        <v>22</v>
      </c>
      <c r="E11" s="145"/>
      <c r="G11" s="79" t="s">
        <v>47</v>
      </c>
      <c r="H11" s="140"/>
      <c r="I11" s="80"/>
      <c r="J11" s="140" t="s">
        <v>48</v>
      </c>
      <c r="K11" s="140"/>
      <c r="L11" s="145"/>
      <c r="N11" s="77" t="s">
        <v>191</v>
      </c>
      <c r="P11" s="79" t="s">
        <v>161</v>
      </c>
      <c r="Q11" s="140"/>
      <c r="R11" s="80"/>
      <c r="S11" s="140" t="s">
        <v>118</v>
      </c>
      <c r="T11" s="140"/>
      <c r="U11" s="145"/>
    </row>
    <row r="12" spans="1:22" ht="15" thickBot="1" x14ac:dyDescent="0.35">
      <c r="B12" s="158" t="str" cm="1">
        <f t="array" ref="B12">IFERROR((_xlfn.IFS(Results!W33="Yes",Calculations!Q7,Results!W34="Yes",Calculations!S7,Results!W35="Yes",Calculations!U7,Results!W36="Yes",Calculations!W7,Results!W37="Yes",Calculations!Y7,Results!W38="Yes",Calculations!AA7,OR(Results!W39="Yes",Results!W39=""),Calculations!AC7))," ")</f>
        <v xml:space="preserve"> </v>
      </c>
      <c r="C12" s="159"/>
      <c r="D12" s="160" t="str" cm="1">
        <f t="array" ref="D12">IFERROR((_xlfn.IFS(Results!W33="Yes",Calculations!Q8,Results!W34="Yes",Calculations!S8,Results!W35="Yes",Calculations!U8,Results!W36="Yes",Calculations!W8,Results!W37="Yes",Calculations!Y8,Results!W38="Yes",Calculations!AA8,OR(Results!W39="Yes",Results!W39=""),Calculations!AC8))," ")</f>
        <v xml:space="preserve"> </v>
      </c>
      <c r="E12" s="161"/>
      <c r="G12" s="177" t="str">
        <f>IFERROR(Calculations!C3," ")</f>
        <v xml:space="preserve"> </v>
      </c>
      <c r="H12" s="160"/>
      <c r="I12" s="178"/>
      <c r="J12" s="160" t="str">
        <f>IFERROR(Calculations!B3," ")</f>
        <v xml:space="preserve"> </v>
      </c>
      <c r="K12" s="160"/>
      <c r="L12" s="161"/>
      <c r="N12" s="78" t="str" cm="1">
        <f t="array" ref="N12">IFERROR((_xlfn.IFS(AND(G9="Octahedrally Trending",Results!W35="Yes"),Calculations!J49,G9="Octahedrally Trending",Calculations!F49,G9="Tetrahedrally Trending",Calculations!B49))," ")</f>
        <v xml:space="preserve"> </v>
      </c>
      <c r="P12" s="141" t="str" cm="1">
        <f t="array" ref="P12">IFERROR((_xlfn.IFS(G9="Tetrahedrally Trending",Calculations!B14,AND(G9="Octahedrally Trending",Results!W35="Yes"),Calculations!J14,G9="Octahedrally Trending",Calculations!F14))," ")</f>
        <v xml:space="preserve"> </v>
      </c>
      <c r="Q12" s="142"/>
      <c r="R12" s="143"/>
      <c r="S12" s="148" t="str" cm="1">
        <f t="array" ref="S12">IFERROR((_xlfn.IFS(G9="Tetrahedrally Trending",Calculations!B15,AND(G9="Octahedrally Trending",W35="Yes"),Calculations!J15,G9="Octahedrally Trending",Calculations!F15))," ")</f>
        <v xml:space="preserve"> </v>
      </c>
      <c r="T12" s="148"/>
      <c r="U12" s="149"/>
    </row>
    <row r="13" spans="1:22" ht="15" thickBot="1" x14ac:dyDescent="0.35"/>
    <row r="14" spans="1:22" x14ac:dyDescent="0.3">
      <c r="B14" s="52" t="s">
        <v>32</v>
      </c>
      <c r="C14" s="140" t="s">
        <v>31</v>
      </c>
      <c r="D14" s="145"/>
      <c r="G14" s="179" t="s">
        <v>40</v>
      </c>
      <c r="H14" s="180"/>
      <c r="I14" s="181"/>
      <c r="K14" s="79" t="s">
        <v>114</v>
      </c>
      <c r="L14" s="140"/>
      <c r="M14" s="140"/>
      <c r="N14" s="145"/>
      <c r="P14" s="79" t="s">
        <v>160</v>
      </c>
      <c r="Q14" s="140"/>
      <c r="R14" s="80"/>
      <c r="S14" s="140" t="s">
        <v>119</v>
      </c>
      <c r="T14" s="140"/>
      <c r="U14" s="145"/>
    </row>
    <row r="15" spans="1:22" ht="15" thickBot="1" x14ac:dyDescent="0.35">
      <c r="B15" s="53" t="s">
        <v>24</v>
      </c>
      <c r="C15" s="26" t="s">
        <v>25</v>
      </c>
      <c r="D15" s="23">
        <v>0.5</v>
      </c>
      <c r="G15" s="150" t="s">
        <v>50</v>
      </c>
      <c r="H15" s="151"/>
      <c r="I15" s="45" t="str" cm="1">
        <f t="array" ref="I15">IFERROR((_xlfn.IFS(G9="Tetrahedrally Trending",Calculations!B20,AND(G9="Octahedrally Trending",W35="Yes"),Calculations!J20,G9="Octahedrally Trending",Calculations!F20))," ")</f>
        <v xml:space="preserve"> </v>
      </c>
      <c r="K15" s="109" t="s">
        <v>121</v>
      </c>
      <c r="L15" s="110"/>
      <c r="M15" s="103" t="str" cm="1">
        <f t="array" ref="M15">IFERROR((_xlfn.IFS(G9="Tetrahedrally Trending",Calculations!B41,AND(G9="Octahedrally Trending",W35="Yes"),Calculations!J41,G9="Octahedrally Trending",Calculations!F41))," ")</f>
        <v xml:space="preserve"> </v>
      </c>
      <c r="N15" s="104"/>
      <c r="P15" s="141" t="str" cm="1">
        <f t="array" ref="P15">IFERROR((_xlfn.IFS(G9="Tetrahedrally Trending",Calculations!B16,AND(G9="Octahedrally Trending",Results!W35="Yes"),Calculations!J16,G9="Octahedrally Trending",Calculations!F16))," ")</f>
        <v xml:space="preserve"> </v>
      </c>
      <c r="Q15" s="142"/>
      <c r="R15" s="143"/>
      <c r="S15" s="148" t="str" cm="1">
        <f t="array" ref="S15">IFERROR((_xlfn.IFS(G9="Tetrahedrally Trending",Calculations!B17,AND(G9="Octahedrally Trending",W35="Yes"),Calculations!J17,G9="Octahedrally Trending",Calculations!F17))," ")</f>
        <v xml:space="preserve"> </v>
      </c>
      <c r="T15" s="148"/>
      <c r="U15" s="149"/>
    </row>
    <row r="16" spans="1:22" ht="15" thickBot="1" x14ac:dyDescent="0.35">
      <c r="B16" s="53" t="s">
        <v>33</v>
      </c>
      <c r="C16" s="27" t="s">
        <v>26</v>
      </c>
      <c r="D16" s="23">
        <v>0</v>
      </c>
      <c r="G16" s="56"/>
      <c r="H16" s="57"/>
      <c r="I16" s="58"/>
      <c r="K16" s="111" t="s">
        <v>122</v>
      </c>
      <c r="L16" s="112"/>
      <c r="M16" s="103" t="str" cm="1">
        <f t="array" ref="M16">IFERROR((_xlfn.IFS(G9="Tetrahedrally Trending",Calculations!B42,AND(G9="Octahedrally Trending",W35="Yes"),Calculations!J42,G9="Octahedrally Trending",Calculations!F42))," ")</f>
        <v xml:space="preserve"> </v>
      </c>
      <c r="N16" s="104"/>
    </row>
    <row r="17" spans="2:25" x14ac:dyDescent="0.3">
      <c r="B17" s="54"/>
      <c r="C17" s="28" t="s">
        <v>27</v>
      </c>
      <c r="D17" s="24">
        <v>0.25</v>
      </c>
      <c r="G17" s="150" t="s">
        <v>49</v>
      </c>
      <c r="H17" s="151"/>
      <c r="I17" s="45" t="str" cm="1">
        <f t="array" ref="I17">IFERROR((_xlfn.IFS(G9="Tetrahedrally Trending",Calculations!B19,AND(G9="Octahedrally Trending",W35="Yes"),Calculations!J19,G9="Octahedrally Trending",Calculations!F19))," ")</f>
        <v xml:space="preserve"> </v>
      </c>
      <c r="K17" s="113" t="s">
        <v>123</v>
      </c>
      <c r="L17" s="114"/>
      <c r="M17" s="105" t="str" cm="1">
        <f t="array" ref="M17">IFERROR((_xlfn.IFS(G9="Tetrahedrally Trending",Calculations!B43,AND(G9="Octahedrally Trending",W35="Yes"),Calculations!J43,G9="Octahedrally Trending",Calculations!F43))," ")</f>
        <v xml:space="preserve"> </v>
      </c>
      <c r="N17" s="106"/>
      <c r="P17" s="79" t="s">
        <v>162</v>
      </c>
      <c r="Q17" s="140"/>
      <c r="R17" s="80"/>
      <c r="S17" s="91" t="s">
        <v>106</v>
      </c>
      <c r="T17" s="140"/>
      <c r="U17" s="80"/>
      <c r="V17" s="91" t="s">
        <v>107</v>
      </c>
      <c r="W17" s="145"/>
    </row>
    <row r="18" spans="2:25" ht="15" thickBot="1" x14ac:dyDescent="0.35">
      <c r="B18" s="54"/>
      <c r="C18" s="28"/>
      <c r="D18" s="24"/>
      <c r="G18" s="150"/>
      <c r="H18" s="151"/>
      <c r="I18" s="176"/>
      <c r="K18" s="21"/>
      <c r="L18" s="4"/>
      <c r="M18" s="4"/>
      <c r="N18" s="10"/>
      <c r="P18" s="141" t="str" cm="1">
        <f t="array" ref="P18">IFERROR((_xlfn.IFS(G9="Tetrahedrally Trending",Calculations!B11,AND(G9="Octahedrally Trending",W35="Yes"),Calculations!J11,G9="Octahedrally Trending",Calculations!F11))," ")</f>
        <v xml:space="preserve"> </v>
      </c>
      <c r="Q18" s="142"/>
      <c r="R18" s="143"/>
      <c r="S18" s="144" t="str" cm="1">
        <f t="array" ref="S18">IFERROR((_xlfn.IFS(G9="Tetrahedrally Trending",Calculations!B12,AND(G9="Octahedrally Trending",W35="Yes"),Calculations!J12,G9="Octahedrally Trending",Calculations!F12))," ")</f>
        <v xml:space="preserve"> </v>
      </c>
      <c r="T18" s="142"/>
      <c r="U18" s="143"/>
      <c r="V18" s="146" t="str" cm="1">
        <f t="array" ref="V18">IFERROR((_xlfn.IFS(G9="Tetrahedrally Trending",Calculations!B13,AND(G9="Octahedrally Trending",W35="Yes"),Calculations!J13,G9="Octahedrally Trending",Calculations!F13))," ")</f>
        <v xml:space="preserve"> </v>
      </c>
      <c r="W18" s="147"/>
    </row>
    <row r="19" spans="2:25" ht="15" thickBot="1" x14ac:dyDescent="0.35">
      <c r="B19" s="53" t="s">
        <v>28</v>
      </c>
      <c r="C19" s="26" t="s">
        <v>25</v>
      </c>
      <c r="D19" s="23">
        <v>0.33333000000000002</v>
      </c>
      <c r="G19" s="152" t="s">
        <v>41</v>
      </c>
      <c r="H19" s="153"/>
      <c r="I19" s="46" t="str" cm="1">
        <f t="array" ref="I19">IFERROR((_xlfn.IFS(AND(G9="Octahedrally Trending",Results!W35="Yes"),Calculations!J23,G9="Octahedrally Trending",Calculations!F23,G9="Tetrahedrally Trending",Calculations!B23))," ")</f>
        <v xml:space="preserve"> </v>
      </c>
      <c r="K19" s="109" t="s">
        <v>124</v>
      </c>
      <c r="L19" s="110"/>
      <c r="M19" s="103" t="str" cm="1">
        <f t="array" ref="M19">IFERROR((_xlfn.IFS(G9="Tetrahedrally Trending",Calculations!B45,AND(G9="Octahedrally Trending",W35="Yes"),Calculations!J45,G9="Octahedrally Trending",Calculations!F45))," ")</f>
        <v xml:space="preserve"> </v>
      </c>
      <c r="N19" s="104"/>
    </row>
    <row r="20" spans="2:25" ht="14.4" customHeight="1" x14ac:dyDescent="0.3">
      <c r="B20" s="53" t="s">
        <v>34</v>
      </c>
      <c r="C20" s="27" t="s">
        <v>26</v>
      </c>
      <c r="D20" s="23">
        <v>0.66666999999999998</v>
      </c>
      <c r="G20" s="152" t="s">
        <v>42</v>
      </c>
      <c r="H20" s="153"/>
      <c r="I20" s="47" t="str" cm="1">
        <f t="array" ref="I20">IFERROR((_xlfn.IFS(AND(G9="Octahedrally Trending",Results!W35="Yes"),Calculations!J24,G9="Octahedrally Trending",Calculations!F24,G9="Tetrahedrally Trending",Calculations!B24))," ")</f>
        <v xml:space="preserve"> </v>
      </c>
      <c r="K20" s="111" t="s">
        <v>125</v>
      </c>
      <c r="L20" s="112"/>
      <c r="M20" s="103" t="str" cm="1">
        <f t="array" ref="M20">IFERROR((_xlfn.IFS(G9="Tetrahedrally Trending",Calculations!B46,AND(G9="Octahedrally Trending",W35="Yes"),Calculations!J46,G9="Octahedrally Trending",Calculations!F46))," ")</f>
        <v xml:space="preserve"> </v>
      </c>
      <c r="N20" s="104"/>
      <c r="P20" s="123" t="s">
        <v>131</v>
      </c>
      <c r="Q20" s="124"/>
      <c r="R20" s="124"/>
      <c r="S20" s="124"/>
      <c r="T20" s="124"/>
      <c r="U20" s="124"/>
      <c r="V20" s="124"/>
      <c r="W20" s="124"/>
      <c r="X20" s="124"/>
      <c r="Y20" s="125"/>
    </row>
    <row r="21" spans="2:25" x14ac:dyDescent="0.3">
      <c r="B21" s="53"/>
      <c r="C21" s="27" t="s">
        <v>27</v>
      </c>
      <c r="D21" s="23">
        <v>0.25</v>
      </c>
      <c r="G21" s="154" t="s">
        <v>43</v>
      </c>
      <c r="H21" s="155"/>
      <c r="I21" s="48" t="str" cm="1">
        <f t="array" ref="I21">IFERROR((_xlfn.IFS(G9="Tetrahedrally Trending",Calculations!B25,AND(G9="Octahedrally Trending",W35="Yes"),Calculations!J25,G9="Octahedrally Trending",Calculations!F25))," ")</f>
        <v xml:space="preserve"> </v>
      </c>
      <c r="K21" s="113" t="s">
        <v>126</v>
      </c>
      <c r="L21" s="114"/>
      <c r="M21" s="105" t="str" cm="1">
        <f t="array" ref="M21">IFERROR((_xlfn.IFS(G9="Tetrahedrally Trending",Calculations!B47,AND(G9="Octahedrally Trending",W35="Yes"),Calculations!J47,G9="Octahedrally Trending",Calculations!F47))," ")</f>
        <v xml:space="preserve"> </v>
      </c>
      <c r="N21" s="106"/>
      <c r="P21" s="126"/>
      <c r="Q21" s="127"/>
      <c r="R21" s="127"/>
      <c r="S21" s="127"/>
      <c r="T21" s="127"/>
      <c r="U21" s="127"/>
      <c r="V21" s="127"/>
      <c r="W21" s="127"/>
      <c r="X21" s="127"/>
      <c r="Y21" s="128"/>
    </row>
    <row r="22" spans="2:25" x14ac:dyDescent="0.3">
      <c r="B22" s="55"/>
      <c r="C22" s="25"/>
      <c r="D22" s="22"/>
      <c r="G22" s="150"/>
      <c r="H22" s="151"/>
      <c r="I22" s="176"/>
      <c r="K22" s="21"/>
      <c r="L22" s="4"/>
      <c r="M22" s="4"/>
      <c r="N22" s="10"/>
      <c r="P22" s="129"/>
      <c r="Q22" s="130"/>
      <c r="R22" s="130"/>
      <c r="S22" s="130"/>
      <c r="T22" s="130"/>
      <c r="U22" s="130"/>
      <c r="V22" s="130"/>
      <c r="W22" s="130"/>
      <c r="X22" s="130"/>
      <c r="Y22" s="131"/>
    </row>
    <row r="23" spans="2:25" x14ac:dyDescent="0.3">
      <c r="B23" s="53" t="s">
        <v>29</v>
      </c>
      <c r="C23" s="26" t="s">
        <v>25</v>
      </c>
      <c r="D23" s="51" t="str" cm="1">
        <f t="array" ref="D23">IFERROR((_xlfn.IFS(AND(G9="Octahedrally Trending",Results!W35="Yes"),Calculations!J33,G9="Octahedrally Trending",Calculations!F33,G9="Tetrahedrally Trending",Calculations!B33))," ")</f>
        <v xml:space="preserve"> </v>
      </c>
      <c r="G23" s="150" t="s">
        <v>189</v>
      </c>
      <c r="H23" s="151"/>
      <c r="I23" s="45" t="str" cm="1">
        <f t="array" ref="I23">IFERROR((_xlfn.IFS(G9="Tetrahedrally Trending",Calculations!B26,AND(G9="Octahedrally Trending",W35="Yes"),Calculations!J26,G9="Octahedrally Trending",Calculations!F26))," ")</f>
        <v xml:space="preserve"> </v>
      </c>
      <c r="K23" s="109" t="s">
        <v>115</v>
      </c>
      <c r="L23" s="110"/>
      <c r="M23" s="103" t="str" cm="1">
        <f t="array" ref="M23">IFERROR((_xlfn.IFS(G9="Tetrahedrally Trending",Calculations!B28,AND(G9="Octahedrally Trending",W35="Yes"),Calculations!J28,G9="Octahedrally Trending",Calculations!F28))," ")</f>
        <v xml:space="preserve"> </v>
      </c>
      <c r="N23" s="104"/>
      <c r="P23" s="138" t="s">
        <v>133</v>
      </c>
      <c r="Q23" s="139"/>
      <c r="R23" s="139"/>
      <c r="S23" s="132" t="str">
        <f>IF(AND('Data Input'!F17&gt;SUM('Data Input'!G17:H17),SUM('Data Input'!G17:H17)&lt;0.12),"sample could be emerald","sample could be aquamarine")</f>
        <v>sample could be aquamarine</v>
      </c>
      <c r="T23" s="132"/>
      <c r="U23" s="132"/>
      <c r="V23" s="132"/>
      <c r="W23" s="132"/>
      <c r="X23" s="132"/>
      <c r="Y23" s="133"/>
    </row>
    <row r="24" spans="2:25" ht="15" thickBot="1" x14ac:dyDescent="0.35">
      <c r="B24" s="53" t="s">
        <v>35</v>
      </c>
      <c r="C24" s="27" t="s">
        <v>26</v>
      </c>
      <c r="D24" s="51" t="str" cm="1">
        <f t="array" ref="D24">IFERROR((_xlfn.IFS(AND(G9="Octahedrally Trending",Results!W35="Yes"),Calculations!J34,G9="Octahedrally Trending",Calculations!F34,G9="Tetrahedrally Trending",Calculations!B34))," ")</f>
        <v xml:space="preserve"> </v>
      </c>
      <c r="G24" s="96" t="s">
        <v>184</v>
      </c>
      <c r="H24" s="97"/>
      <c r="I24" s="44" t="str" cm="1">
        <f t="array" ref="I24">IFERROR((_xlfn.IFS(G9="Tetrahedrally Trending",Calculations!B27,AND(G9="Octahedrally Trending",W35="Yes"),Calculations!J27,G9="Octahedrally Trending",Calculations!F27))," ")</f>
        <v xml:space="preserve"> </v>
      </c>
      <c r="K24" s="111" t="s">
        <v>116</v>
      </c>
      <c r="L24" s="112"/>
      <c r="M24" s="103" t="str" cm="1">
        <f t="array" ref="M24">IFERROR((_xlfn.IFS(G9="Tetrahedrally Trending",Calculations!B29,AND(G9="Octahedrally Trending",W35="Yes"),Calculations!J29,G9="Octahedrally Trending",Calculations!F29))," ")</f>
        <v xml:space="preserve"> </v>
      </c>
      <c r="N24" s="104"/>
      <c r="P24" s="136" t="s">
        <v>138</v>
      </c>
      <c r="Q24" s="137"/>
      <c r="R24" s="137"/>
      <c r="S24" s="132" t="str">
        <f>IF(AND('Data Input'!F17&lt;SUM('Data Input'!G17:H17),SUM('Data Input'!G17:H17)&lt;0.1),"sample could be aquamarine or heliodor","sample could be aquamarine")</f>
        <v>sample could be aquamarine</v>
      </c>
      <c r="T24" s="132"/>
      <c r="U24" s="132"/>
      <c r="V24" s="132"/>
      <c r="W24" s="132"/>
      <c r="X24" s="132"/>
      <c r="Y24" s="133"/>
    </row>
    <row r="25" spans="2:25" x14ac:dyDescent="0.3">
      <c r="B25" s="53"/>
      <c r="C25" s="27" t="s">
        <v>27</v>
      </c>
      <c r="D25" s="23">
        <v>0</v>
      </c>
      <c r="K25" s="111" t="s">
        <v>117</v>
      </c>
      <c r="L25" s="112"/>
      <c r="M25" s="103" t="str" cm="1">
        <f t="array" ref="M25">IFERROR((_xlfn.IFS(G9="Tetrahedrally Trending",Calculations!B30,AND(G9="Octahedrally Trending",W35="Yes"),Calculations!J30,G9="Octahedrally Trending",Calculations!F30))," ")</f>
        <v xml:space="preserve"> </v>
      </c>
      <c r="N25" s="104"/>
      <c r="P25" s="136" t="s">
        <v>132</v>
      </c>
      <c r="Q25" s="137"/>
      <c r="R25" s="137"/>
      <c r="S25" s="132" t="str">
        <f>IF(OR('Data Input'!I17&gt;0,'Data Input'!J17&gt;0),"sample could be emerald","sample is likely not emerald")</f>
        <v>sample is likely not emerald</v>
      </c>
      <c r="T25" s="132"/>
      <c r="U25" s="132"/>
      <c r="V25" s="132"/>
      <c r="W25" s="132"/>
      <c r="X25" s="132"/>
      <c r="Y25" s="133"/>
    </row>
    <row r="26" spans="2:25" ht="15" thickBot="1" x14ac:dyDescent="0.35">
      <c r="B26" s="55"/>
      <c r="C26" s="25"/>
      <c r="D26" s="22"/>
      <c r="K26" s="102" t="s">
        <v>120</v>
      </c>
      <c r="L26" s="93"/>
      <c r="M26" s="107" t="str" cm="1">
        <f t="array" ref="M26">IFERROR((_xlfn.IFS(G9="Tetrahedrally Trending",Calculations!B31,AND(G9="Octahedrally Trending",W35="Yes"),Calculations!J31,G9="Octahedrally Trending",Calculations!F31))," ")</f>
        <v xml:space="preserve"> </v>
      </c>
      <c r="N26" s="108"/>
      <c r="P26" s="136" t="s">
        <v>134</v>
      </c>
      <c r="Q26" s="137"/>
      <c r="R26" s="137"/>
      <c r="S26" s="132" t="str" cm="1">
        <f t="array" ref="S26">_xlfn.IFS(SUM('Data Input'!K17:L17)&gt;=0.01,"sample is likely red beryl",0.001&lt;(SUM('Data Input'!K17:L17))&lt;0.01,"sample could be morganite",SUM('Data Input'!K17:L17)&lt;=0.001,"sample is unlikely to be red beryl or morganite")</f>
        <v>sample is unlikely to be red beryl or morganite</v>
      </c>
      <c r="T26" s="132"/>
      <c r="U26" s="132"/>
      <c r="V26" s="132"/>
      <c r="W26" s="132"/>
      <c r="X26" s="132"/>
      <c r="Y26" s="133"/>
    </row>
    <row r="27" spans="2:25" x14ac:dyDescent="0.3">
      <c r="B27" s="53" t="s">
        <v>30</v>
      </c>
      <c r="C27" s="26" t="s">
        <v>25</v>
      </c>
      <c r="D27" s="51" t="str" cm="1">
        <f t="array" ref="D27">IFERROR((_xlfn.IFS(AND(G9="Octahedrally Trending",Results!W35="Yes"),Calculations!J35,G9="Octahedrally Trending",Calculations!F35,G9="Tetrahedrally Trending",Calculations!B35))," ")</f>
        <v xml:space="preserve"> </v>
      </c>
      <c r="P27" s="98" t="s">
        <v>135</v>
      </c>
      <c r="Q27" s="99"/>
      <c r="R27" s="99"/>
      <c r="S27" s="134" t="str">
        <f>IF('Data Input'!C17&gt;0.05,"sample is likely tetrahedral, and could be goshenite or morganite","sample is unlikely to be goshenite or morganite")</f>
        <v>sample is unlikely to be goshenite or morganite</v>
      </c>
      <c r="T27" s="134"/>
      <c r="U27" s="134"/>
      <c r="V27" s="134"/>
      <c r="W27" s="134"/>
      <c r="X27" s="134"/>
      <c r="Y27" s="135"/>
    </row>
    <row r="28" spans="2:25" x14ac:dyDescent="0.3">
      <c r="B28" s="53"/>
      <c r="C28" s="27" t="s">
        <v>26</v>
      </c>
      <c r="D28" s="51" t="str" cm="1">
        <f t="array" ref="D28">IFERROR((_xlfn.IFS(AND(G9="Octahedrally Trending",Results!W35="Yes"),Calculations!J36,G9="Octahedrally Trending",Calculations!F36,G9="Tetrahedrally Trending",Calculations!B36))," ")</f>
        <v xml:space="preserve"> </v>
      </c>
      <c r="P28" s="115" t="s">
        <v>136</v>
      </c>
      <c r="Q28" s="116"/>
      <c r="R28" s="116"/>
      <c r="S28" s="119" t="str" cm="1">
        <f t="array" ref="S28">_xlfn.IFS('Data Input'!S17&gt;=0.1, "H2O calculations and above statements are reliable", 'Data Input'!S17&lt;0.1, "H2O calculations for octahedral trending beryl are less accurate and aquamarine vs heliodor is not well chemically distinguished")</f>
        <v>H2O calculations for octahedral trending beryl are less accurate and aquamarine vs heliodor is not well chemically distinguished</v>
      </c>
      <c r="T28" s="119"/>
      <c r="U28" s="119"/>
      <c r="V28" s="119"/>
      <c r="W28" s="119"/>
      <c r="X28" s="119"/>
      <c r="Y28" s="120"/>
    </row>
    <row r="29" spans="2:25" ht="15" thickBot="1" x14ac:dyDescent="0.35">
      <c r="B29" s="53"/>
      <c r="C29" s="27" t="s">
        <v>27</v>
      </c>
      <c r="D29" s="64">
        <v>0</v>
      </c>
      <c r="P29" s="117"/>
      <c r="Q29" s="118"/>
      <c r="R29" s="118"/>
      <c r="S29" s="121"/>
      <c r="T29" s="121"/>
      <c r="U29" s="121"/>
      <c r="V29" s="121"/>
      <c r="W29" s="121"/>
      <c r="X29" s="121"/>
      <c r="Y29" s="122"/>
    </row>
    <row r="30" spans="2:25" ht="15" thickBot="1" x14ac:dyDescent="0.35">
      <c r="B30" s="55"/>
      <c r="C30" s="25"/>
      <c r="D30" s="22"/>
    </row>
    <row r="31" spans="2:25" ht="15" thickBot="1" x14ac:dyDescent="0.35">
      <c r="B31" s="53" t="s">
        <v>36</v>
      </c>
      <c r="C31" s="26" t="s">
        <v>25</v>
      </c>
      <c r="D31" s="51" t="str" cm="1">
        <f t="array" ref="D31">IFERROR((_xlfn.IFS(AND(G9="Octahedrally Trending",Results!W35="Yes"),Calculations!J37,G9="Octahedrally Trending",Calculations!F37,G9="Tetrahedrally Trending",Calculations!B37))," ")</f>
        <v xml:space="preserve"> </v>
      </c>
      <c r="P31" s="170" t="s">
        <v>164</v>
      </c>
      <c r="Q31" s="171"/>
      <c r="R31" s="171"/>
      <c r="S31" s="171"/>
      <c r="T31" s="171"/>
      <c r="U31" s="171"/>
      <c r="V31" s="172"/>
    </row>
    <row r="32" spans="2:25" ht="15" thickBot="1" x14ac:dyDescent="0.35">
      <c r="B32" s="53"/>
      <c r="C32" s="27" t="s">
        <v>26</v>
      </c>
      <c r="D32" s="51" t="str" cm="1">
        <f t="array" ref="D32">IFERROR((_xlfn.IFS(AND(G9="Octahedrally Trending",Results!W35="Yes"),Calculations!J38,G9="Octahedrally Trending",Calculations!F38,G9="Tetrahedrally Trending",Calculations!B38))," ")</f>
        <v xml:space="preserve"> </v>
      </c>
      <c r="P32" s="173"/>
      <c r="Q32" s="174"/>
      <c r="R32" s="174"/>
      <c r="S32" s="174"/>
      <c r="T32" s="174"/>
      <c r="U32" s="174"/>
      <c r="V32" s="175"/>
      <c r="W32" s="18" t="s">
        <v>18</v>
      </c>
    </row>
    <row r="33" spans="2:23" ht="15" customHeight="1" x14ac:dyDescent="0.3">
      <c r="B33" s="53"/>
      <c r="C33" s="27" t="s">
        <v>27</v>
      </c>
      <c r="D33" s="51" t="str" cm="1">
        <f t="array" ref="D33">IFERROR((_xlfn.IFS(AND(G9="Octahedrally Trending",Results!W35="Yes"),Calculations!J39,G9="Octahedrally Trending",Calculations!F39,G9="Tetrahedrally Trending",Calculations!B39))," ")</f>
        <v xml:space="preserve"> </v>
      </c>
      <c r="P33" s="9"/>
      <c r="Q33" s="182" t="s">
        <v>13</v>
      </c>
      <c r="R33" s="183"/>
      <c r="S33" s="183"/>
      <c r="T33" s="183"/>
      <c r="U33" s="183"/>
      <c r="V33" s="184"/>
      <c r="W33" s="17"/>
    </row>
    <row r="34" spans="2:23" x14ac:dyDescent="0.3">
      <c r="B34" s="55"/>
      <c r="C34" s="25"/>
      <c r="D34" s="22"/>
      <c r="P34" s="9"/>
      <c r="Q34" s="165" t="s">
        <v>14</v>
      </c>
      <c r="R34" s="137"/>
      <c r="S34" s="137"/>
      <c r="T34" s="137"/>
      <c r="U34" s="137"/>
      <c r="V34" s="166"/>
      <c r="W34" s="11"/>
    </row>
    <row r="35" spans="2:23" x14ac:dyDescent="0.3">
      <c r="B35" s="53" t="s">
        <v>37</v>
      </c>
      <c r="C35" s="26" t="s">
        <v>25</v>
      </c>
      <c r="D35" s="23">
        <v>0</v>
      </c>
      <c r="P35" s="9"/>
      <c r="Q35" s="165" t="s">
        <v>12</v>
      </c>
      <c r="R35" s="137"/>
      <c r="S35" s="137"/>
      <c r="T35" s="137"/>
      <c r="U35" s="137"/>
      <c r="V35" s="166"/>
      <c r="W35" s="11"/>
    </row>
    <row r="36" spans="2:23" x14ac:dyDescent="0.3">
      <c r="B36" s="156" t="s">
        <v>194</v>
      </c>
      <c r="C36" s="27" t="s">
        <v>26</v>
      </c>
      <c r="D36" s="23">
        <v>0</v>
      </c>
      <c r="P36" s="9"/>
      <c r="Q36" s="165" t="s">
        <v>15</v>
      </c>
      <c r="R36" s="137"/>
      <c r="S36" s="137"/>
      <c r="T36" s="137"/>
      <c r="U36" s="137"/>
      <c r="V36" s="166"/>
      <c r="W36" s="11"/>
    </row>
    <row r="37" spans="2:23" x14ac:dyDescent="0.3">
      <c r="B37" s="156"/>
      <c r="C37" s="27" t="s">
        <v>27</v>
      </c>
      <c r="D37" s="23">
        <v>0</v>
      </c>
      <c r="P37" s="9"/>
      <c r="Q37" s="165" t="s">
        <v>16</v>
      </c>
      <c r="R37" s="137"/>
      <c r="S37" s="137"/>
      <c r="T37" s="137"/>
      <c r="U37" s="137"/>
      <c r="V37" s="166"/>
      <c r="W37" s="15"/>
    </row>
    <row r="38" spans="2:23" x14ac:dyDescent="0.3">
      <c r="B38" s="55"/>
      <c r="C38" s="25"/>
      <c r="D38" s="22"/>
      <c r="P38" s="9"/>
      <c r="Q38" s="165" t="s">
        <v>17</v>
      </c>
      <c r="R38" s="137"/>
      <c r="S38" s="137"/>
      <c r="T38" s="137"/>
      <c r="U38" s="137"/>
      <c r="V38" s="166"/>
      <c r="W38" s="14"/>
    </row>
    <row r="39" spans="2:23" ht="15" thickBot="1" x14ac:dyDescent="0.35">
      <c r="B39" s="53" t="s">
        <v>39</v>
      </c>
      <c r="C39" s="26" t="s">
        <v>25</v>
      </c>
      <c r="D39" s="23">
        <v>0</v>
      </c>
      <c r="P39" s="6"/>
      <c r="Q39" s="167" t="s">
        <v>20</v>
      </c>
      <c r="R39" s="168"/>
      <c r="S39" s="168"/>
      <c r="T39" s="168"/>
      <c r="U39" s="168"/>
      <c r="V39" s="169"/>
      <c r="W39" s="12"/>
    </row>
    <row r="40" spans="2:23" x14ac:dyDescent="0.3">
      <c r="B40" s="156" t="s">
        <v>193</v>
      </c>
      <c r="C40" s="27" t="s">
        <v>26</v>
      </c>
      <c r="D40" s="23">
        <v>0</v>
      </c>
    </row>
    <row r="41" spans="2:23" ht="15" thickBot="1" x14ac:dyDescent="0.35">
      <c r="B41" s="157"/>
      <c r="C41" s="29" t="s">
        <v>27</v>
      </c>
      <c r="D41" s="19">
        <v>0.25</v>
      </c>
    </row>
    <row r="43" spans="2:23" x14ac:dyDescent="0.3">
      <c r="B43" s="3"/>
      <c r="C43" s="3"/>
      <c r="D43" s="3"/>
    </row>
    <row r="48" spans="2:23" x14ac:dyDescent="0.3">
      <c r="B48" s="3"/>
      <c r="C48" s="3"/>
      <c r="D48" s="3"/>
    </row>
  </sheetData>
  <mergeCells count="85">
    <mergeCell ref="Q35:V35"/>
    <mergeCell ref="Q36:V36"/>
    <mergeCell ref="Q33:V33"/>
    <mergeCell ref="Q34:V34"/>
    <mergeCell ref="Q37:V37"/>
    <mergeCell ref="Q38:V38"/>
    <mergeCell ref="Q39:V39"/>
    <mergeCell ref="P31:V32"/>
    <mergeCell ref="Q8:V9"/>
    <mergeCell ref="G11:I11"/>
    <mergeCell ref="J11:L11"/>
    <mergeCell ref="G23:H23"/>
    <mergeCell ref="K14:N14"/>
    <mergeCell ref="P11:R11"/>
    <mergeCell ref="S11:U11"/>
    <mergeCell ref="G18:I18"/>
    <mergeCell ref="G22:I22"/>
    <mergeCell ref="G12:I12"/>
    <mergeCell ref="J12:L12"/>
    <mergeCell ref="G14:I14"/>
    <mergeCell ref="G15:H15"/>
    <mergeCell ref="B11:C11"/>
    <mergeCell ref="D11:E11"/>
    <mergeCell ref="C8:F8"/>
    <mergeCell ref="C9:F9"/>
    <mergeCell ref="G8:M8"/>
    <mergeCell ref="G9:M9"/>
    <mergeCell ref="C14:D14"/>
    <mergeCell ref="B36:B37"/>
    <mergeCell ref="B40:B41"/>
    <mergeCell ref="B12:C12"/>
    <mergeCell ref="D12:E12"/>
    <mergeCell ref="G17:H17"/>
    <mergeCell ref="G19:H19"/>
    <mergeCell ref="G20:H20"/>
    <mergeCell ref="G21:H21"/>
    <mergeCell ref="P12:R12"/>
    <mergeCell ref="P17:R17"/>
    <mergeCell ref="K15:L15"/>
    <mergeCell ref="K16:L16"/>
    <mergeCell ref="K17:L17"/>
    <mergeCell ref="M15:N15"/>
    <mergeCell ref="M16:N16"/>
    <mergeCell ref="M17:N17"/>
    <mergeCell ref="V17:W17"/>
    <mergeCell ref="V18:W18"/>
    <mergeCell ref="S12:U12"/>
    <mergeCell ref="P14:R14"/>
    <mergeCell ref="S14:U14"/>
    <mergeCell ref="P15:R15"/>
    <mergeCell ref="S15:U15"/>
    <mergeCell ref="K23:L23"/>
    <mergeCell ref="K24:L24"/>
    <mergeCell ref="K25:L25"/>
    <mergeCell ref="S17:U17"/>
    <mergeCell ref="P18:R18"/>
    <mergeCell ref="S18:U18"/>
    <mergeCell ref="P28:R29"/>
    <mergeCell ref="S28:Y29"/>
    <mergeCell ref="P20:Y22"/>
    <mergeCell ref="S23:Y23"/>
    <mergeCell ref="S24:Y24"/>
    <mergeCell ref="S25:Y25"/>
    <mergeCell ref="S26:Y26"/>
    <mergeCell ref="S27:Y27"/>
    <mergeCell ref="P26:R26"/>
    <mergeCell ref="P25:R25"/>
    <mergeCell ref="P24:R24"/>
    <mergeCell ref="P23:R23"/>
    <mergeCell ref="G24:H24"/>
    <mergeCell ref="P27:R27"/>
    <mergeCell ref="A1:S1"/>
    <mergeCell ref="A3:S4"/>
    <mergeCell ref="A6:S6"/>
    <mergeCell ref="K26:L26"/>
    <mergeCell ref="M19:N19"/>
    <mergeCell ref="M20:N20"/>
    <mergeCell ref="M21:N21"/>
    <mergeCell ref="M23:N23"/>
    <mergeCell ref="M24:N24"/>
    <mergeCell ref="M25:N25"/>
    <mergeCell ref="M26:N26"/>
    <mergeCell ref="K19:L19"/>
    <mergeCell ref="K20:L20"/>
    <mergeCell ref="K21:L21"/>
  </mergeCells>
  <conditionalFormatting sqref="W33">
    <cfRule type="containsText" dxfId="6" priority="7" stopIfTrue="1" operator="containsText" text="Yes">
      <formula>NOT(ISERROR(SEARCH("Yes",W33)))</formula>
    </cfRule>
  </conditionalFormatting>
  <conditionalFormatting sqref="W34">
    <cfRule type="containsText" dxfId="5" priority="6" stopIfTrue="1" operator="containsText" text="Yes">
      <formula>NOT(ISERROR(SEARCH("Yes",W34)))</formula>
    </cfRule>
  </conditionalFormatting>
  <conditionalFormatting sqref="W35">
    <cfRule type="containsText" dxfId="4" priority="5" stopIfTrue="1" operator="containsText" text="Yes">
      <formula>NOT(ISERROR(SEARCH("Yes",W35)))</formula>
    </cfRule>
  </conditionalFormatting>
  <conditionalFormatting sqref="W36">
    <cfRule type="containsText" dxfId="3" priority="4" stopIfTrue="1" operator="containsText" text="Yes">
      <formula>NOT(ISERROR(SEARCH("Yes",W36)))</formula>
    </cfRule>
  </conditionalFormatting>
  <conditionalFormatting sqref="W37">
    <cfRule type="containsText" dxfId="2" priority="3" stopIfTrue="1" operator="containsText" text="Yes">
      <formula>NOT(ISERROR(SEARCH("Yes",W37)))</formula>
    </cfRule>
  </conditionalFormatting>
  <conditionalFormatting sqref="W38">
    <cfRule type="containsText" dxfId="1" priority="2" stopIfTrue="1" operator="containsText" text="Yes">
      <formula>NOT(ISERROR(SEARCH("Yes",W38)))</formula>
    </cfRule>
  </conditionalFormatting>
  <conditionalFormatting sqref="W39">
    <cfRule type="containsText" dxfId="0" priority="1" operator="containsText" text="Yes">
      <formula>NOT(ISERROR(SEARCH("Yes",W39)))</formula>
    </cfRule>
  </conditionalFormatting>
  <pageMargins left="0.7" right="0.7" top="0.75" bottom="0.75" header="0.3" footer="0.3"/>
  <pageSetup orientation="portrait" r:id="rId1"/>
  <ignoredErrors>
    <ignoredError sqref="S26"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C2404B0-5BC2-413D-A0E6-5FCFA99F7D62}">
          <x14:formula1>
            <xm:f>Calculations!$A$1:$A$3</xm:f>
          </x14:formula1>
          <xm:sqref>W33:W39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D6348-A1CB-4F2C-AB4A-DEC451554B83}">
  <sheetPr>
    <tabColor rgb="FF00B050"/>
  </sheetPr>
  <dimension ref="A1"/>
  <sheetViews>
    <sheetView zoomScaleNormal="100" workbookViewId="0">
      <selection activeCell="J14" sqref="J14"/>
    </sheetView>
  </sheetViews>
  <sheetFormatPr defaultRowHeight="14.4" x14ac:dyDescent="0.3"/>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84BA9-980C-48F3-9528-B1495241329B}">
  <sheetPr>
    <tabColor theme="7" tint="0.79998168889431442"/>
  </sheetPr>
  <dimension ref="A1:AS49"/>
  <sheetViews>
    <sheetView workbookViewId="0">
      <pane xSplit="1" ySplit="3" topLeftCell="B4" activePane="bottomRight" state="frozen"/>
      <selection pane="topRight" activeCell="B1" sqref="B1"/>
      <selection pane="bottomLeft" activeCell="A4" sqref="A4"/>
      <selection pane="bottomRight" activeCell="J15" sqref="J15:M15"/>
    </sheetView>
  </sheetViews>
  <sheetFormatPr defaultColWidth="8.88671875" defaultRowHeight="14.4" x14ac:dyDescent="0.3"/>
  <cols>
    <col min="1" max="1" width="12.44140625" customWidth="1"/>
    <col min="4" max="5" width="11.6640625" customWidth="1"/>
    <col min="7" max="7" width="10.33203125" customWidth="1"/>
  </cols>
  <sheetData>
    <row r="1" spans="1:45" x14ac:dyDescent="0.3">
      <c r="A1" s="31" t="s">
        <v>19</v>
      </c>
      <c r="V1" t="s">
        <v>72</v>
      </c>
    </row>
    <row r="2" spans="1:45" ht="57.6" x14ac:dyDescent="0.3">
      <c r="A2" s="39" t="s">
        <v>152</v>
      </c>
      <c r="B2" s="2" t="s">
        <v>78</v>
      </c>
      <c r="C2" s="2" t="s">
        <v>79</v>
      </c>
      <c r="D2" s="33" t="s">
        <v>80</v>
      </c>
      <c r="E2" s="33" t="s">
        <v>82</v>
      </c>
      <c r="G2" s="2" t="s">
        <v>63</v>
      </c>
      <c r="H2" s="2" t="s">
        <v>24</v>
      </c>
      <c r="I2" s="2" t="s">
        <v>53</v>
      </c>
      <c r="J2" s="2" t="s">
        <v>54</v>
      </c>
      <c r="K2" s="2" t="s">
        <v>55</v>
      </c>
      <c r="L2" s="2" t="s">
        <v>56</v>
      </c>
      <c r="M2" s="2" t="s">
        <v>57</v>
      </c>
      <c r="N2" s="2" t="s">
        <v>7</v>
      </c>
      <c r="O2" s="2" t="s">
        <v>58</v>
      </c>
      <c r="P2" s="2" t="s">
        <v>8</v>
      </c>
      <c r="Q2" s="2" t="s">
        <v>59</v>
      </c>
      <c r="R2" s="2" t="s">
        <v>60</v>
      </c>
      <c r="S2" s="2" t="s">
        <v>61</v>
      </c>
      <c r="T2" s="2" t="s">
        <v>62</v>
      </c>
      <c r="V2" s="2" t="s">
        <v>64</v>
      </c>
      <c r="W2" s="2" t="s">
        <v>65</v>
      </c>
      <c r="X2" s="2" t="s">
        <v>66</v>
      </c>
      <c r="Y2" s="2" t="s">
        <v>67</v>
      </c>
      <c r="Z2" s="2" t="s">
        <v>68</v>
      </c>
      <c r="AA2" s="2" t="s">
        <v>69</v>
      </c>
      <c r="AB2" s="2" t="s">
        <v>70</v>
      </c>
      <c r="AC2" s="2" t="s">
        <v>71</v>
      </c>
      <c r="AD2" s="2" t="s">
        <v>73</v>
      </c>
      <c r="AE2" s="2" t="s">
        <v>74</v>
      </c>
      <c r="AF2" s="2" t="s">
        <v>75</v>
      </c>
      <c r="AG2" s="2" t="s">
        <v>76</v>
      </c>
      <c r="AH2" s="2" t="s">
        <v>77</v>
      </c>
      <c r="AI2" s="2" t="s">
        <v>81</v>
      </c>
      <c r="AJ2" s="2" t="s">
        <v>158</v>
      </c>
      <c r="AM2" s="2" t="s">
        <v>171</v>
      </c>
      <c r="AN2" s="2" t="s">
        <v>172</v>
      </c>
      <c r="AO2" s="2" t="s">
        <v>57</v>
      </c>
      <c r="AP2" s="2" t="s">
        <v>56</v>
      </c>
      <c r="AQ2" s="2" t="s">
        <v>176</v>
      </c>
      <c r="AR2" s="2" t="s">
        <v>177</v>
      </c>
      <c r="AS2" s="2" t="s">
        <v>53</v>
      </c>
    </row>
    <row r="3" spans="1:45" ht="15" thickBot="1" x14ac:dyDescent="0.35">
      <c r="A3" s="40"/>
      <c r="B3" t="e">
        <f>SUM(V3:W3)</f>
        <v>#DIV/0!</v>
      </c>
      <c r="C3" t="e">
        <f>SUM(X3:AH3)</f>
        <v>#DIV/0!</v>
      </c>
      <c r="D3" t="e">
        <f>(B3*0.45)+0.414</f>
        <v>#DIV/0!</v>
      </c>
      <c r="E3" t="e">
        <f>IF(Calculations!C3&gt;Calculations!D3,"Octahedrally Trending","Tetrahedrally Trending")</f>
        <v>#DIV/0!</v>
      </c>
      <c r="H3">
        <v>0.27</v>
      </c>
      <c r="I3">
        <v>0.59</v>
      </c>
      <c r="J3">
        <v>0.53500000000000003</v>
      </c>
      <c r="K3">
        <v>0.72</v>
      </c>
      <c r="L3">
        <v>0.78</v>
      </c>
      <c r="M3">
        <v>0.64500000000000002</v>
      </c>
      <c r="N3">
        <v>0.61499999999999999</v>
      </c>
      <c r="O3">
        <v>0.64</v>
      </c>
      <c r="P3">
        <v>0.83</v>
      </c>
      <c r="Q3">
        <v>0.64500000000000002</v>
      </c>
      <c r="R3">
        <v>0.745</v>
      </c>
      <c r="S3">
        <v>0.69</v>
      </c>
      <c r="T3">
        <v>0.74</v>
      </c>
      <c r="V3" t="e">
        <f>'Data Input'!B17*(Calculations!H3/Calculations!AJ3)</f>
        <v>#DIV/0!</v>
      </c>
      <c r="W3" t="e">
        <f>'Data Input'!C17*(Calculations!I3/Calculations!AJ3)</f>
        <v>#DIV/0!</v>
      </c>
      <c r="X3" t="e">
        <f>'Data Input'!E17*(Calculations!J3/Calculations!$AI3)</f>
        <v>#DIV/0!</v>
      </c>
      <c r="Y3" t="e">
        <f>'Data Input'!F17*(Calculations!K3/Calculations!$AI3)</f>
        <v>#DIV/0!</v>
      </c>
      <c r="Z3" t="e">
        <f>'Data Input'!G17*(Calculations!L3/Calculations!$AI3)</f>
        <v>#DIV/0!</v>
      </c>
      <c r="AA3" t="e">
        <f>'Data Input'!H17*(Calculations!M3/Calculations!$AI3)</f>
        <v>#DIV/0!</v>
      </c>
      <c r="AB3" t="e">
        <f>'Data Input'!I17*(Calculations!N3/Calculations!$AI3)</f>
        <v>#DIV/0!</v>
      </c>
      <c r="AC3" t="e">
        <f>'Data Input'!J17*(Calculations!O3/Calculations!$AI3)</f>
        <v>#DIV/0!</v>
      </c>
      <c r="AD3" t="e">
        <f>'Data Input'!K17*(Calculations!P3/Calculations!$AI3)</f>
        <v>#DIV/0!</v>
      </c>
      <c r="AE3" t="e">
        <f>'Data Input'!L17*(Calculations!Q3/Calculations!$AI3)</f>
        <v>#DIV/0!</v>
      </c>
      <c r="AF3" t="e">
        <f>'Data Input'!M17*(Calculations!R3/Calculations!$AI3)</f>
        <v>#DIV/0!</v>
      </c>
      <c r="AG3" t="e">
        <f>'Data Input'!N17*(Calculations!S3/Calculations!$AI3)</f>
        <v>#DIV/0!</v>
      </c>
      <c r="AH3" t="e">
        <f>'Data Input'!O17*(Calculations!T3/Calculations!$AI3)</f>
        <v>#DIV/0!</v>
      </c>
      <c r="AI3">
        <f>SUM('Data Input'!E17:O17)</f>
        <v>0</v>
      </c>
      <c r="AJ3">
        <f>'Data Input'!B17+'Data Input'!C17</f>
        <v>0</v>
      </c>
      <c r="AM3">
        <f>SUM('Data Input'!S17,'Data Input'!E23,'Data Input'!F23,'Data Input'!G23)</f>
        <v>0</v>
      </c>
      <c r="AN3">
        <f>SUM('Data Input'!F17,'Data Input'!A23:B23,'Data Input'!C23:D23,'Data Input'!N17,'Data Input'!O17)</f>
        <v>0</v>
      </c>
      <c r="AO3">
        <f>IF((AN3-AM3)&gt;0, (AN3-AM3),0)</f>
        <v>0</v>
      </c>
      <c r="AP3">
        <f>'Data Input'!A23-Calculations!AO3</f>
        <v>0</v>
      </c>
      <c r="AQ3">
        <f>SUM('Data Input'!S17,'Data Input'!E23,'Data Input'!F23,'Data Input'!G23,2*'Data Input'!H23)</f>
        <v>0</v>
      </c>
      <c r="AR3">
        <f>SUM('Data Input'!F17,'Data Input'!A23,'Data Input'!C23,'Data Input'!N17,'Data Input'!O17)</f>
        <v>0</v>
      </c>
      <c r="AS3">
        <f>IF((AQ3-AR3)&gt;0,(AQ3-AR3),0)</f>
        <v>0</v>
      </c>
    </row>
    <row r="5" spans="1:45" s="5" customFormat="1" ht="15" thickBot="1" x14ac:dyDescent="0.35">
      <c r="O5"/>
      <c r="P5"/>
      <c r="Q5"/>
      <c r="R5"/>
      <c r="S5"/>
      <c r="T5"/>
      <c r="U5"/>
      <c r="V5"/>
      <c r="W5"/>
      <c r="X5"/>
      <c r="Y5"/>
      <c r="Z5"/>
      <c r="AA5"/>
      <c r="AB5"/>
      <c r="AC5"/>
      <c r="AD5"/>
      <c r="AE5"/>
      <c r="AF5"/>
      <c r="AG5"/>
      <c r="AH5"/>
    </row>
    <row r="6" spans="1:45" x14ac:dyDescent="0.3">
      <c r="B6" s="134" t="s">
        <v>83</v>
      </c>
      <c r="C6" s="134"/>
      <c r="D6" s="134"/>
      <c r="F6" s="134" t="s">
        <v>84</v>
      </c>
      <c r="G6" s="134"/>
      <c r="H6" s="134"/>
      <c r="J6" s="134" t="s">
        <v>182</v>
      </c>
      <c r="K6" s="134"/>
      <c r="L6" s="134"/>
      <c r="M6" s="134"/>
      <c r="O6" s="79"/>
      <c r="P6" s="80"/>
      <c r="Q6" s="91" t="s">
        <v>88</v>
      </c>
      <c r="R6" s="80"/>
      <c r="S6" s="91" t="s">
        <v>89</v>
      </c>
      <c r="T6" s="80"/>
      <c r="U6" s="91" t="s">
        <v>90</v>
      </c>
      <c r="V6" s="80"/>
      <c r="W6" s="91" t="s">
        <v>92</v>
      </c>
      <c r="X6" s="80"/>
      <c r="Y6" s="91" t="s">
        <v>91</v>
      </c>
      <c r="Z6" s="80"/>
      <c r="AA6" s="91" t="s">
        <v>93</v>
      </c>
      <c r="AB6" s="80"/>
      <c r="AC6" s="91" t="s">
        <v>157</v>
      </c>
      <c r="AD6" s="80"/>
      <c r="AE6" s="187" t="s">
        <v>155</v>
      </c>
      <c r="AF6" s="198"/>
      <c r="AG6" s="187" t="s">
        <v>156</v>
      </c>
      <c r="AH6" s="188"/>
    </row>
    <row r="7" spans="1:45" x14ac:dyDescent="0.3">
      <c r="A7" s="34" t="s">
        <v>85</v>
      </c>
      <c r="B7" s="100" t="e">
        <f>(0.1099*B3)+9.1844</f>
        <v>#DIV/0!</v>
      </c>
      <c r="C7" s="100"/>
      <c r="D7" s="100"/>
      <c r="F7" s="100" t="e">
        <f>(1.3392*C3)+8.4921</f>
        <v>#DIV/0!</v>
      </c>
      <c r="G7" s="100"/>
      <c r="H7" s="100"/>
      <c r="I7" s="49"/>
      <c r="J7" s="100" t="e">
        <f>(1.4611*C3)+8.4388</f>
        <v>#DIV/0!</v>
      </c>
      <c r="K7" s="100"/>
      <c r="L7" s="100"/>
      <c r="M7" s="100"/>
      <c r="O7" s="197" t="s">
        <v>23</v>
      </c>
      <c r="P7" s="186"/>
      <c r="Q7" s="185">
        <f>(1.2928*'Data Input'!S17)+0.4218</f>
        <v>0.42180000000000001</v>
      </c>
      <c r="R7" s="186"/>
      <c r="S7" s="185">
        <f>('Data Input'!S17*1.4386)+0.4012</f>
        <v>0.4012</v>
      </c>
      <c r="T7" s="186"/>
      <c r="U7" s="185">
        <v>0</v>
      </c>
      <c r="V7" s="186"/>
      <c r="W7" s="199" t="s">
        <v>139</v>
      </c>
      <c r="X7" s="186"/>
      <c r="Y7" s="185">
        <f>('Data Input'!S17*1.4016)+0.4183</f>
        <v>0.41830000000000001</v>
      </c>
      <c r="Z7" s="186"/>
      <c r="AA7" s="185">
        <f>('Data Input'!S17*1.6003)+0.3904</f>
        <v>0.39040000000000002</v>
      </c>
      <c r="AB7" s="186"/>
      <c r="AC7" s="185" t="e" cm="1">
        <f t="array" ref="AC7">_xlfn.IFS(E3="Tetrahedrally Trending",AG7,E3="Octahedrally Trending",AE7)</f>
        <v>#DIV/0!</v>
      </c>
      <c r="AD7" s="186"/>
      <c r="AE7" s="189">
        <f>('Data Input'!S17*1.3642)+0.4075</f>
        <v>0.40749999999999997</v>
      </c>
      <c r="AF7" s="193"/>
      <c r="AG7" s="189">
        <f>('Data Input'!S17*1.455)+0.4137</f>
        <v>0.41370000000000001</v>
      </c>
      <c r="AH7" s="190"/>
    </row>
    <row r="8" spans="1:45" ht="15" thickBot="1" x14ac:dyDescent="0.35">
      <c r="A8" s="34" t="s">
        <v>86</v>
      </c>
      <c r="B8" s="100" t="e">
        <f>(0.9053*B3)+8.9503</f>
        <v>#DIV/0!</v>
      </c>
      <c r="C8" s="100"/>
      <c r="D8" s="100"/>
      <c r="F8" s="100" t="e">
        <f>(0.1083*C3)+9.1359</f>
        <v>#DIV/0!</v>
      </c>
      <c r="G8" s="100"/>
      <c r="H8" s="100"/>
      <c r="I8" s="49"/>
      <c r="J8" s="100" t="e">
        <f>(-0.1164*C3)+9.2631</f>
        <v>#DIV/0!</v>
      </c>
      <c r="K8" s="100"/>
      <c r="L8" s="100"/>
      <c r="M8" s="100"/>
      <c r="O8" s="102" t="s">
        <v>22</v>
      </c>
      <c r="P8" s="93"/>
      <c r="Q8" s="92">
        <f>('Data Input'!U17*0.7215)+1.4103</f>
        <v>1.4103000000000001</v>
      </c>
      <c r="R8" s="93"/>
      <c r="S8" s="92">
        <f>('Data Input'!U17*0.8116)+1.3353</f>
        <v>1.3352999999999999</v>
      </c>
      <c r="T8" s="93"/>
      <c r="U8" s="92">
        <v>0</v>
      </c>
      <c r="V8" s="93"/>
      <c r="W8" s="194" t="s">
        <v>140</v>
      </c>
      <c r="X8" s="93"/>
      <c r="Y8" s="92">
        <f>('Data Input'!U17*0.7796)+1.3994</f>
        <v>1.3994</v>
      </c>
      <c r="Z8" s="93"/>
      <c r="AA8" s="92">
        <f>('Data Input'!U17*0.9124)+1.2846</f>
        <v>1.2846</v>
      </c>
      <c r="AB8" s="93"/>
      <c r="AC8" s="163" t="e" cm="1">
        <f t="array" ref="AC8">_xlfn.IFS(E3="Tetrahedrally Trending",AG8,E3="Octahedrally Trending",AE8)</f>
        <v>#DIV/0!</v>
      </c>
      <c r="AD8" s="97"/>
      <c r="AE8" s="195">
        <f>('Data Input'!U17*0.7672)+1.357</f>
        <v>1.357</v>
      </c>
      <c r="AF8" s="196"/>
      <c r="AG8" s="191">
        <f>('Data Input'!U17*0.8146)+1.3788</f>
        <v>1.3788</v>
      </c>
      <c r="AH8" s="192"/>
    </row>
    <row r="9" spans="1:45" x14ac:dyDescent="0.3">
      <c r="A9" t="s">
        <v>87</v>
      </c>
      <c r="B9" s="153" t="e">
        <f>(B3*0.0863)+0.9746</f>
        <v>#DIV/0!</v>
      </c>
      <c r="C9" s="153"/>
      <c r="D9" s="153"/>
      <c r="E9" s="42"/>
      <c r="F9" s="153" t="e">
        <f>(-0.1324*C3)+1.0692</f>
        <v>#DIV/0!</v>
      </c>
      <c r="G9" s="153"/>
      <c r="H9" s="153"/>
      <c r="I9" s="50"/>
      <c r="J9" s="153" t="e">
        <f>(-0.17*C3)+1.0888</f>
        <v>#DIV/0!</v>
      </c>
      <c r="K9" s="153"/>
      <c r="L9" s="153"/>
      <c r="M9" s="153"/>
      <c r="AE9" t="s">
        <v>190</v>
      </c>
    </row>
    <row r="10" spans="1:45" x14ac:dyDescent="0.3">
      <c r="A10" t="s">
        <v>58</v>
      </c>
      <c r="B10" s="100" t="e">
        <f>(15.322*B3)+673.14</f>
        <v>#DIV/0!</v>
      </c>
      <c r="C10" s="100"/>
      <c r="D10" s="100"/>
      <c r="F10" s="100" t="e">
        <f>(201.46*C3)+567.5</f>
        <v>#DIV/0!</v>
      </c>
      <c r="G10" s="100"/>
      <c r="H10" s="100"/>
      <c r="J10" s="100" t="e">
        <f>(206.69*C3)+566.85</f>
        <v>#DIV/0!</v>
      </c>
      <c r="K10" s="100"/>
      <c r="L10" s="100"/>
      <c r="M10" s="100"/>
    </row>
    <row r="11" spans="1:45" x14ac:dyDescent="0.3">
      <c r="A11" t="s">
        <v>108</v>
      </c>
      <c r="B11" s="100" t="e">
        <f>(0.0224*B3)+2.1289</f>
        <v>#DIV/0!</v>
      </c>
      <c r="C11" s="100"/>
      <c r="D11" s="100"/>
      <c r="F11" s="100" t="e">
        <f>(0.1537*C3)+2.0504</f>
        <v>#DIV/0!</v>
      </c>
      <c r="G11" s="100"/>
      <c r="H11" s="100"/>
      <c r="I11" s="49"/>
      <c r="J11" s="100" t="e">
        <f>(0.0679*C3)+2.1015</f>
        <v>#DIV/0!</v>
      </c>
      <c r="K11" s="100"/>
      <c r="L11" s="100"/>
      <c r="M11" s="100"/>
    </row>
    <row r="12" spans="1:45" x14ac:dyDescent="0.3">
      <c r="A12" t="s">
        <v>105</v>
      </c>
      <c r="B12" s="100" t="e">
        <f>(145.27*B3)-38.163</f>
        <v>#DIV/0!</v>
      </c>
      <c r="C12" s="100"/>
      <c r="D12" s="100"/>
      <c r="F12" s="100" t="e">
        <f>(65.525*C3)-33.822</f>
        <v>#DIV/0!</v>
      </c>
      <c r="G12" s="100"/>
      <c r="H12" s="100"/>
      <c r="J12" s="100" t="e">
        <f>(-13.242*C3)+8.6908</f>
        <v>#DIV/0!</v>
      </c>
      <c r="K12" s="100"/>
      <c r="L12" s="100"/>
      <c r="M12" s="100"/>
    </row>
    <row r="13" spans="1:45" x14ac:dyDescent="0.3">
      <c r="A13" t="s">
        <v>109</v>
      </c>
      <c r="B13" s="100" t="e">
        <f>(-0.1415*B3)+0.0464</f>
        <v>#DIV/0!</v>
      </c>
      <c r="C13" s="100"/>
      <c r="D13" s="100"/>
      <c r="F13" s="100" t="e">
        <f>(-0.1119*C3)+0.0682</f>
        <v>#DIV/0!</v>
      </c>
      <c r="G13" s="100"/>
      <c r="H13" s="100"/>
      <c r="J13" s="100" t="e">
        <f>(0.0029*C3)+0.0064</f>
        <v>#DIV/0!</v>
      </c>
      <c r="K13" s="100"/>
      <c r="L13" s="100"/>
      <c r="M13" s="100"/>
    </row>
    <row r="14" spans="1:45" x14ac:dyDescent="0.3">
      <c r="A14" t="s">
        <v>127</v>
      </c>
      <c r="B14" s="100" t="e">
        <f>(1.77*B3)+1.554</f>
        <v>#DIV/0!</v>
      </c>
      <c r="C14" s="100"/>
      <c r="D14" s="100"/>
      <c r="F14" s="100" t="e">
        <f>(0.7916*C3)+1.6097</f>
        <v>#DIV/0!</v>
      </c>
      <c r="G14" s="100"/>
      <c r="H14" s="100"/>
      <c r="I14" s="49"/>
      <c r="J14" s="100" t="e">
        <f>(1.1459*C3)+1.4246</f>
        <v>#DIV/0!</v>
      </c>
      <c r="K14" s="100"/>
      <c r="L14" s="100"/>
      <c r="M14" s="100"/>
    </row>
    <row r="15" spans="1:45" x14ac:dyDescent="0.3">
      <c r="A15" t="s">
        <v>128</v>
      </c>
      <c r="B15" s="100" t="e">
        <f>(-273.3*B3)+404.39</f>
        <v>#DIV/0!</v>
      </c>
      <c r="C15" s="100"/>
      <c r="D15" s="100"/>
      <c r="F15" s="100" t="e">
        <f>(-1154*C3)+950.24</f>
        <v>#DIV/0!</v>
      </c>
      <c r="G15" s="100"/>
      <c r="H15" s="100"/>
      <c r="J15" s="100" t="e">
        <f>(-928.42*C3)+823.37</f>
        <v>#DIV/0!</v>
      </c>
      <c r="K15" s="100"/>
      <c r="L15" s="100"/>
      <c r="M15" s="100"/>
    </row>
    <row r="16" spans="1:45" x14ac:dyDescent="0.3">
      <c r="A16" t="s">
        <v>129</v>
      </c>
      <c r="B16" s="100" t="e">
        <f>(1.2397*B3)+8.6197</f>
        <v>#DIV/0!</v>
      </c>
      <c r="C16" s="100"/>
      <c r="D16" s="100"/>
      <c r="F16" s="100" t="e">
        <f>(10.67*C3)+3.2135</f>
        <v>#DIV/0!</v>
      </c>
      <c r="G16" s="100"/>
      <c r="H16" s="100"/>
      <c r="I16" s="49"/>
      <c r="J16" s="100" t="e">
        <f>(9.0823*C3)+4.1363</f>
        <v>#DIV/0!</v>
      </c>
      <c r="K16" s="100"/>
      <c r="L16" s="100"/>
      <c r="M16" s="100"/>
    </row>
    <row r="17" spans="1:13" x14ac:dyDescent="0.3">
      <c r="A17" t="s">
        <v>130</v>
      </c>
      <c r="B17" s="100" t="e">
        <f>(-213.68*B3)+132.71</f>
        <v>#DIV/0!</v>
      </c>
      <c r="C17" s="100"/>
      <c r="D17" s="100"/>
      <c r="F17" s="100" t="e">
        <f>(236.14*C3)-52.405</f>
        <v>#DIV/0!</v>
      </c>
      <c r="G17" s="100"/>
      <c r="H17" s="100"/>
      <c r="J17" s="100" t="e">
        <f>(154.86*C3)-7.1864</f>
        <v>#DIV/0!</v>
      </c>
      <c r="K17" s="100"/>
      <c r="L17" s="100"/>
      <c r="M17" s="100"/>
    </row>
    <row r="18" spans="1:13" x14ac:dyDescent="0.3">
      <c r="F18" s="100"/>
      <c r="G18" s="100"/>
      <c r="H18" s="100"/>
      <c r="J18" s="100"/>
      <c r="K18" s="100"/>
      <c r="L18" s="100"/>
      <c r="M18" s="100"/>
    </row>
    <row r="19" spans="1:13" x14ac:dyDescent="0.3">
      <c r="A19" t="s">
        <v>185</v>
      </c>
      <c r="B19" s="100" t="e">
        <f>(0.0317*B3)+1.8984</f>
        <v>#DIV/0!</v>
      </c>
      <c r="C19" s="100"/>
      <c r="D19" s="100"/>
      <c r="F19" s="100" t="e">
        <f>(0.8193*C3)+1.4661</f>
        <v>#DIV/0!</v>
      </c>
      <c r="G19" s="100"/>
      <c r="H19" s="100"/>
      <c r="J19" s="100" t="e">
        <f>(0.6936*C3)+1.5391</f>
        <v>#DIV/0!</v>
      </c>
      <c r="K19" s="100"/>
      <c r="L19" s="100"/>
      <c r="M19" s="100"/>
    </row>
    <row r="20" spans="1:13" x14ac:dyDescent="0.3">
      <c r="A20" t="s">
        <v>186</v>
      </c>
      <c r="B20" s="100" t="e">
        <f>(0.4011*B3)+1.5474</f>
        <v>#DIV/0!</v>
      </c>
      <c r="C20" s="100"/>
      <c r="D20" s="100"/>
      <c r="F20" s="100" t="e">
        <f>(-0.0588*C3)+1.6878</f>
        <v>#DIV/0!</v>
      </c>
      <c r="G20" s="100"/>
      <c r="H20" s="100"/>
      <c r="J20" s="100" t="e">
        <f>(0.084*C3)+1.6111</f>
        <v>#DIV/0!</v>
      </c>
      <c r="K20" s="100"/>
      <c r="L20" s="100"/>
      <c r="M20" s="100"/>
    </row>
    <row r="21" spans="1:13" x14ac:dyDescent="0.3">
      <c r="B21" s="3"/>
      <c r="C21" s="3"/>
      <c r="D21" s="3"/>
      <c r="F21" s="3"/>
      <c r="G21" s="3"/>
      <c r="H21" s="3"/>
      <c r="J21" s="3"/>
      <c r="K21" s="3"/>
      <c r="L21" s="3"/>
      <c r="M21" s="3"/>
    </row>
    <row r="22" spans="1:13" x14ac:dyDescent="0.3">
      <c r="B22" s="3"/>
      <c r="C22" s="3"/>
      <c r="D22" s="3"/>
      <c r="F22" s="3"/>
      <c r="G22" s="3"/>
      <c r="H22" s="3"/>
      <c r="J22" s="3"/>
      <c r="K22" s="3"/>
      <c r="L22" s="3"/>
      <c r="M22" s="3"/>
    </row>
    <row r="23" spans="1:13" x14ac:dyDescent="0.3">
      <c r="A23" t="s">
        <v>101</v>
      </c>
      <c r="B23" s="100" t="e">
        <f>(0.2532*B3)+1.5253</f>
        <v>#DIV/0!</v>
      </c>
      <c r="C23" s="100"/>
      <c r="D23" s="100"/>
      <c r="F23" s="100" t="e">
        <f>(0.2636*C3)+1.452</f>
        <v>#DIV/0!</v>
      </c>
      <c r="G23" s="100"/>
      <c r="H23" s="100"/>
      <c r="I23" s="49"/>
      <c r="J23" s="100" t="e">
        <f>(0.0331*C3)+1.5769</f>
        <v>#DIV/0!</v>
      </c>
      <c r="K23" s="100"/>
      <c r="L23" s="100"/>
      <c r="M23" s="100"/>
    </row>
    <row r="24" spans="1:13" x14ac:dyDescent="0.3">
      <c r="A24" t="s">
        <v>102</v>
      </c>
      <c r="B24" s="100" t="e">
        <f>(0.2724*B3)+1.5236</f>
        <v>#DIV/0!</v>
      </c>
      <c r="C24" s="100"/>
      <c r="D24" s="100"/>
      <c r="F24" s="100" t="e">
        <f>(0.1962*C3)+1.4915</f>
        <v>#DIV/0!</v>
      </c>
      <c r="G24" s="100"/>
      <c r="H24" s="100"/>
      <c r="J24" s="100" t="e">
        <f>(-0.0107*C3)+1.6042</f>
        <v>#DIV/0!</v>
      </c>
      <c r="K24" s="100"/>
      <c r="L24" s="100"/>
      <c r="M24" s="100"/>
    </row>
    <row r="25" spans="1:13" x14ac:dyDescent="0.3">
      <c r="A25" t="s">
        <v>103</v>
      </c>
      <c r="B25" s="100" t="e">
        <f>(-0.1935*B3)+1.674</f>
        <v>#DIV/0!</v>
      </c>
      <c r="C25" s="100"/>
      <c r="D25" s="100"/>
      <c r="F25" s="100" t="e">
        <f>(-0.1281*C3)+1.6899</f>
        <v>#DIV/0!</v>
      </c>
      <c r="G25" s="100"/>
      <c r="H25" s="100"/>
      <c r="J25" s="100" t="e">
        <f>(0.0217*C3)+1.6107</f>
        <v>#DIV/0!</v>
      </c>
      <c r="K25" s="100"/>
      <c r="L25" s="100"/>
      <c r="M25" s="100"/>
    </row>
    <row r="26" spans="1:13" x14ac:dyDescent="0.3">
      <c r="A26" t="s">
        <v>104</v>
      </c>
      <c r="B26" s="100" t="e">
        <f>(-0.8825*B3)+2.8231</f>
        <v>#DIV/0!</v>
      </c>
      <c r="C26" s="100"/>
      <c r="D26" s="100"/>
      <c r="F26" s="100" t="e">
        <f>(-0.6166*C3)+2.9146</f>
        <v>#DIV/0!</v>
      </c>
      <c r="G26" s="100"/>
      <c r="H26" s="100"/>
      <c r="J26" s="100" t="e">
        <f>(0.1005*C3)+2.5311</f>
        <v>#DIV/0!</v>
      </c>
      <c r="K26" s="100"/>
      <c r="L26" s="100"/>
      <c r="M26" s="100"/>
    </row>
    <row r="27" spans="1:13" x14ac:dyDescent="0.3">
      <c r="A27" t="s">
        <v>183</v>
      </c>
      <c r="B27" s="100" t="e">
        <f>(-0.1573*B3)+4.2482</f>
        <v>#DIV/0!</v>
      </c>
      <c r="C27" s="100"/>
      <c r="D27" s="100"/>
      <c r="F27" s="100" t="e">
        <f>(0.0673*C3)+4.1683</f>
        <v>#DIV/0!</v>
      </c>
      <c r="G27" s="100"/>
      <c r="H27" s="100"/>
      <c r="J27" s="100" t="e">
        <f>(0.2075*C3)+4.0959</f>
        <v>#DIV/0!</v>
      </c>
      <c r="K27" s="100"/>
      <c r="L27" s="100"/>
      <c r="M27" s="100"/>
    </row>
    <row r="28" spans="1:13" x14ac:dyDescent="0.3">
      <c r="A28" t="s">
        <v>110</v>
      </c>
      <c r="B28" s="100" t="e">
        <f>(-78.007*B3)+129.26</f>
        <v>#DIV/0!</v>
      </c>
      <c r="C28" s="100"/>
      <c r="D28" s="100"/>
      <c r="F28" s="100" t="e">
        <f>(-59.373*C3)+140.02</f>
        <v>#DIV/0!</v>
      </c>
      <c r="G28" s="100"/>
      <c r="H28" s="100"/>
      <c r="J28" s="100" t="e">
        <f>(5.1229*C3)+105.35</f>
        <v>#DIV/0!</v>
      </c>
      <c r="K28" s="100"/>
      <c r="L28" s="100"/>
      <c r="M28" s="100"/>
    </row>
    <row r="29" spans="1:13" x14ac:dyDescent="0.3">
      <c r="A29" t="s">
        <v>111</v>
      </c>
      <c r="B29" s="100" t="e">
        <f>(-2.1612*B3)+109.07</f>
        <v>#DIV/0!</v>
      </c>
      <c r="C29" s="100"/>
      <c r="D29" s="100"/>
      <c r="F29" s="100" t="e">
        <f>(18.349*C3)+98.588</f>
        <v>#DIV/0!</v>
      </c>
      <c r="G29" s="100"/>
      <c r="H29" s="100"/>
      <c r="J29" s="100" t="e">
        <f>(4.268*C3)+106.15</f>
        <v>#DIV/0!</v>
      </c>
      <c r="K29" s="100"/>
      <c r="L29" s="100"/>
      <c r="M29" s="100"/>
    </row>
    <row r="30" spans="1:13" x14ac:dyDescent="0.3">
      <c r="A30" t="s">
        <v>112</v>
      </c>
      <c r="B30" s="100" t="e">
        <f>(23.503*B3)+104.02</f>
        <v>#DIV/0!</v>
      </c>
      <c r="C30" s="100"/>
      <c r="D30" s="100"/>
      <c r="F30" s="100" t="e">
        <f>(4.346*C3)+108.09</f>
        <v>#DIV/0!</v>
      </c>
      <c r="G30" s="100"/>
      <c r="H30" s="100"/>
      <c r="I30" s="49"/>
      <c r="J30" s="100" t="e">
        <f>(-0.2888*C3)+110.58</f>
        <v>#DIV/0!</v>
      </c>
      <c r="K30" s="100"/>
      <c r="L30" s="100"/>
      <c r="M30" s="100"/>
    </row>
    <row r="31" spans="1:13" x14ac:dyDescent="0.3">
      <c r="A31" t="s">
        <v>113</v>
      </c>
      <c r="B31" s="100" t="e">
        <f>(29.072*B3)+103.01</f>
        <v>#DIV/0!</v>
      </c>
      <c r="C31" s="100"/>
      <c r="D31" s="100"/>
      <c r="F31" s="100" t="e">
        <f>(12.023*C3)+104.43</f>
        <v>#DIV/0!</v>
      </c>
      <c r="G31" s="100"/>
      <c r="H31" s="100"/>
      <c r="J31" s="100" t="e">
        <f>(-12.87*C3)+117.82</f>
        <v>#DIV/0!</v>
      </c>
      <c r="K31" s="100"/>
      <c r="L31" s="100"/>
      <c r="M31" s="100"/>
    </row>
    <row r="33" spans="1:13" x14ac:dyDescent="0.3">
      <c r="A33" t="s">
        <v>94</v>
      </c>
      <c r="B33" s="100" t="e">
        <f>(0.0442*B3)+0.3755</f>
        <v>#DIV/0!</v>
      </c>
      <c r="C33" s="100"/>
      <c r="D33" s="100"/>
      <c r="F33" s="100" t="e">
        <f>(-0.0382*C3)+0.4081</f>
        <v>#DIV/0!</v>
      </c>
      <c r="G33" s="100"/>
      <c r="H33" s="100"/>
      <c r="J33" s="100" t="e">
        <f>(-0.0646*C3)+0.422</f>
        <v>#DIV/0!</v>
      </c>
      <c r="K33" s="100"/>
      <c r="L33" s="100"/>
      <c r="M33" s="100"/>
    </row>
    <row r="34" spans="1:13" x14ac:dyDescent="0.3">
      <c r="A34" t="s">
        <v>95</v>
      </c>
      <c r="B34" s="100" t="e">
        <f>(0.0786*B3)+0.0945</f>
        <v>#DIV/0!</v>
      </c>
      <c r="C34" s="100"/>
      <c r="D34" s="100"/>
      <c r="F34" s="100" t="e">
        <f>(-0.069*C3)+0.1531</f>
        <v>#DIV/0!</v>
      </c>
      <c r="G34" s="100"/>
      <c r="H34" s="100"/>
      <c r="J34" s="100" t="e">
        <f>(-0.0489*C3)+0.1419</f>
        <v>#DIV/0!</v>
      </c>
      <c r="K34" s="100"/>
      <c r="L34" s="100"/>
      <c r="M34" s="100"/>
    </row>
    <row r="35" spans="1:13" x14ac:dyDescent="0.3">
      <c r="A35" t="s">
        <v>96</v>
      </c>
      <c r="B35" s="100" t="e">
        <f>(-0.126*B3)+0.344</f>
        <v>#DIV/0!</v>
      </c>
      <c r="C35" s="100"/>
      <c r="D35" s="100"/>
      <c r="F35" s="100" t="e">
        <f>(-0.1049*C3)+0.3662</f>
        <v>#DIV/0!</v>
      </c>
      <c r="G35" s="100"/>
      <c r="H35" s="100"/>
      <c r="J35" s="100" t="e">
        <f>(-0.028*C3)+0.3247</f>
        <v>#DIV/0!</v>
      </c>
      <c r="K35" s="100"/>
      <c r="L35" s="100"/>
      <c r="M35" s="100"/>
    </row>
    <row r="36" spans="1:13" x14ac:dyDescent="0.3">
      <c r="A36" t="s">
        <v>97</v>
      </c>
      <c r="B36" s="100" t="e">
        <f>(-0.0445*B3)+0.2485</f>
        <v>#DIV/0!</v>
      </c>
      <c r="C36" s="100"/>
      <c r="D36" s="100"/>
      <c r="F36" s="100" t="e">
        <f>(-0.1234*C3)+0.3028</f>
        <v>#DIV/0!</v>
      </c>
      <c r="G36" s="100"/>
      <c r="H36" s="100"/>
      <c r="J36" s="100" t="e">
        <f>(-0.0449*C3)+0.2603</f>
        <v>#DIV/0!</v>
      </c>
      <c r="K36" s="100"/>
      <c r="L36" s="100"/>
      <c r="M36" s="100"/>
    </row>
    <row r="37" spans="1:13" x14ac:dyDescent="0.3">
      <c r="A37" t="s">
        <v>98</v>
      </c>
      <c r="B37" s="100" t="e">
        <f>(-0.0209*B3)+0.5045</f>
        <v>#DIV/0!</v>
      </c>
      <c r="C37" s="100"/>
      <c r="D37" s="100"/>
      <c r="F37" s="100" t="e">
        <f>(-0.0777*C3)+0.5406</f>
        <v>#DIV/0!</v>
      </c>
      <c r="G37" s="100"/>
      <c r="H37" s="100"/>
      <c r="J37" s="100" t="e">
        <f>(-0.0628*C3)+0.5322</f>
        <v>#DIV/0!</v>
      </c>
      <c r="K37" s="100"/>
      <c r="L37" s="100"/>
      <c r="M37" s="100"/>
    </row>
    <row r="38" spans="1:13" x14ac:dyDescent="0.3">
      <c r="A38" t="s">
        <v>99</v>
      </c>
      <c r="B38" s="100" t="e">
        <f>(0.029*B3)+0.1377</f>
        <v>#DIV/0!</v>
      </c>
      <c r="C38" s="100"/>
      <c r="D38" s="100"/>
      <c r="F38" s="100" t="e">
        <f>(-0.0719*C3)+0.1843</f>
        <v>#DIV/0!</v>
      </c>
      <c r="G38" s="100"/>
      <c r="H38" s="100"/>
      <c r="J38" s="100" t="e">
        <f>(-0.0482*C3)+0.1712</f>
        <v>#DIV/0!</v>
      </c>
      <c r="K38" s="100"/>
      <c r="L38" s="100"/>
      <c r="M38" s="100"/>
    </row>
    <row r="39" spans="1:13" x14ac:dyDescent="0.3">
      <c r="A39" t="s">
        <v>100</v>
      </c>
      <c r="B39" s="100" t="e">
        <f>(-0.0063*B3)+0.1469</f>
        <v>#DIV/0!</v>
      </c>
      <c r="C39" s="100"/>
      <c r="D39" s="100"/>
      <c r="E39" t="s">
        <v>159</v>
      </c>
      <c r="F39" s="100" t="e">
        <f>(-0.0029*C3)+0.1468</f>
        <v>#DIV/0!</v>
      </c>
      <c r="G39" s="100"/>
      <c r="H39" s="100"/>
      <c r="J39" s="100" t="e">
        <f>(-0.0045*C3)+0.1477</f>
        <v>#DIV/0!</v>
      </c>
      <c r="K39" s="100"/>
      <c r="L39" s="100"/>
      <c r="M39" s="100"/>
    </row>
    <row r="41" spans="1:13" x14ac:dyDescent="0.3">
      <c r="A41" t="s">
        <v>121</v>
      </c>
      <c r="B41" s="100" t="e">
        <f>(3.4733*B3)+89.95</f>
        <v>#DIV/0!</v>
      </c>
      <c r="C41" s="100"/>
      <c r="D41" s="100"/>
      <c r="F41" s="100" t="e">
        <f>(35.474*C3)+71.825</f>
        <v>#DIV/0!</v>
      </c>
      <c r="G41" s="100"/>
      <c r="H41" s="100"/>
      <c r="J41" s="100" t="e">
        <f>(25.638*C3)+77.289</f>
        <v>#DIV/0!</v>
      </c>
      <c r="K41" s="100"/>
      <c r="L41" s="100"/>
      <c r="M41" s="100"/>
    </row>
    <row r="42" spans="1:13" x14ac:dyDescent="0.3">
      <c r="A42" t="s">
        <v>122</v>
      </c>
      <c r="B42" s="100" t="e">
        <f>(6.4392*B3)+107.12</f>
        <v>#DIV/0!</v>
      </c>
      <c r="C42" s="100"/>
      <c r="D42" s="100"/>
      <c r="F42" s="100" t="e">
        <f>(-6.1413*C3)+112.16</f>
        <v>#DIV/0!</v>
      </c>
      <c r="G42" s="100"/>
      <c r="H42" s="100"/>
      <c r="J42" s="100" t="e">
        <f>(-0.6837*C3)+109.19</f>
        <v>#DIV/0!</v>
      </c>
      <c r="K42" s="100"/>
      <c r="L42" s="100"/>
      <c r="M42" s="100"/>
    </row>
    <row r="43" spans="1:13" x14ac:dyDescent="0.3">
      <c r="A43" t="s">
        <v>123</v>
      </c>
      <c r="B43" s="100" t="e">
        <f>(-12.798*B3)+134.86</f>
        <v>#DIV/0!</v>
      </c>
      <c r="C43" s="100"/>
      <c r="D43" s="100"/>
      <c r="F43" s="100" t="e">
        <f>(-38.993*C3)+152.34</f>
        <v>#DIV/0!</v>
      </c>
      <c r="G43" s="100"/>
      <c r="H43" s="100"/>
      <c r="J43" s="100" t="e">
        <f>(-32.222*C3)+148.51</f>
        <v>#DIV/0!</v>
      </c>
      <c r="K43" s="100"/>
      <c r="L43" s="100"/>
      <c r="M43" s="100"/>
    </row>
    <row r="45" spans="1:13" x14ac:dyDescent="0.3">
      <c r="A45" t="s">
        <v>124</v>
      </c>
      <c r="B45" s="100" t="e">
        <f>(-13.609*B3)+94.461</f>
        <v>#DIV/0!</v>
      </c>
      <c r="C45" s="100"/>
      <c r="D45" s="100"/>
      <c r="F45" s="100" t="e">
        <f>(-20.39*C3)+101.72</f>
        <v>#DIV/0!</v>
      </c>
      <c r="G45" s="100"/>
      <c r="H45" s="100"/>
      <c r="J45" s="100" t="e">
        <f>(-19.378*C3)+101.09</f>
        <v>#DIV/0!</v>
      </c>
      <c r="K45" s="100"/>
      <c r="L45" s="100"/>
      <c r="M45" s="100"/>
    </row>
    <row r="46" spans="1:13" x14ac:dyDescent="0.3">
      <c r="A46" t="s">
        <v>125</v>
      </c>
      <c r="B46" s="100" t="e">
        <f>(23.021*B3)+70.227</f>
        <v>#DIV/0!</v>
      </c>
      <c r="C46" s="100"/>
      <c r="D46" s="100"/>
      <c r="F46" s="100" t="e">
        <f>(-14.487*C3)+84.275</f>
        <v>#DIV/0!</v>
      </c>
      <c r="G46" s="100"/>
      <c r="H46" s="100"/>
      <c r="J46" s="100" t="e">
        <f>(-8.5809*C3)+80.998</f>
        <v>#DIV/0!</v>
      </c>
      <c r="K46" s="100"/>
      <c r="L46" s="100"/>
      <c r="M46" s="100"/>
    </row>
    <row r="47" spans="1:13" x14ac:dyDescent="0.3">
      <c r="A47" t="s">
        <v>126</v>
      </c>
      <c r="B47" s="100" t="e">
        <f>(-6.3681*B3)+98.457</f>
        <v>#DIV/0!</v>
      </c>
      <c r="C47" s="100"/>
      <c r="D47" s="100"/>
      <c r="F47" s="100" t="e">
        <f>(16.797*C3)+87.694</f>
        <v>#DIV/0!</v>
      </c>
      <c r="G47" s="100"/>
      <c r="H47" s="100"/>
      <c r="J47" s="100" t="e">
        <f>(13.252*C3)+89.694</f>
        <v>#DIV/0!</v>
      </c>
      <c r="K47" s="100"/>
      <c r="L47" s="100"/>
      <c r="M47" s="100"/>
    </row>
    <row r="49" spans="1:13" x14ac:dyDescent="0.3">
      <c r="A49" t="s">
        <v>192</v>
      </c>
      <c r="B49" s="100" t="e">
        <f>(2.5919*B3)+1.9808</f>
        <v>#DIV/0!</v>
      </c>
      <c r="C49" s="100"/>
      <c r="D49" s="100"/>
      <c r="F49" s="100" t="e">
        <f>(1.363*C3)+1.9629</f>
        <v>#DIV/0!</v>
      </c>
      <c r="G49" s="100"/>
      <c r="H49" s="100"/>
      <c r="J49" s="100" t="e">
        <f>(-1.2083*C3)+3.3375</f>
        <v>#DIV/0!</v>
      </c>
      <c r="K49" s="100"/>
      <c r="L49" s="100"/>
      <c r="M49" s="100"/>
    </row>
  </sheetData>
  <mergeCells count="143">
    <mergeCell ref="AE7:AF7"/>
    <mergeCell ref="Q8:R8"/>
    <mergeCell ref="S8:T8"/>
    <mergeCell ref="U8:V8"/>
    <mergeCell ref="W8:X8"/>
    <mergeCell ref="Y8:Z8"/>
    <mergeCell ref="AA8:AB8"/>
    <mergeCell ref="AE8:AF8"/>
    <mergeCell ref="B6:D6"/>
    <mergeCell ref="F6:H6"/>
    <mergeCell ref="J6:M6"/>
    <mergeCell ref="Q6:R6"/>
    <mergeCell ref="S6:T6"/>
    <mergeCell ref="O7:P7"/>
    <mergeCell ref="O6:P6"/>
    <mergeCell ref="B7:D7"/>
    <mergeCell ref="J7:M7"/>
    <mergeCell ref="F7:H7"/>
    <mergeCell ref="F8:H8"/>
    <mergeCell ref="AE6:AF6"/>
    <mergeCell ref="Q7:R7"/>
    <mergeCell ref="S7:T7"/>
    <mergeCell ref="U7:V7"/>
    <mergeCell ref="W7:X7"/>
    <mergeCell ref="B19:D19"/>
    <mergeCell ref="B20:D20"/>
    <mergeCell ref="B23:D23"/>
    <mergeCell ref="B24:D24"/>
    <mergeCell ref="B26:D26"/>
    <mergeCell ref="B25:D25"/>
    <mergeCell ref="B8:D8"/>
    <mergeCell ref="B9:D9"/>
    <mergeCell ref="B10:D10"/>
    <mergeCell ref="B11:D11"/>
    <mergeCell ref="B12:D12"/>
    <mergeCell ref="B13:D13"/>
    <mergeCell ref="B14:D14"/>
    <mergeCell ref="B15:D15"/>
    <mergeCell ref="B16:D16"/>
    <mergeCell ref="B17:D17"/>
    <mergeCell ref="B35:D35"/>
    <mergeCell ref="B36:D36"/>
    <mergeCell ref="B37:D37"/>
    <mergeCell ref="B38:D38"/>
    <mergeCell ref="B39:D39"/>
    <mergeCell ref="B33:D33"/>
    <mergeCell ref="B34:D34"/>
    <mergeCell ref="B28:D28"/>
    <mergeCell ref="B29:D29"/>
    <mergeCell ref="B30:D30"/>
    <mergeCell ref="B31:D31"/>
    <mergeCell ref="F9:H9"/>
    <mergeCell ref="F10:H10"/>
    <mergeCell ref="F11:H11"/>
    <mergeCell ref="F12:H12"/>
    <mergeCell ref="F13:H13"/>
    <mergeCell ref="F14:H14"/>
    <mergeCell ref="F19:H19"/>
    <mergeCell ref="F15:H15"/>
    <mergeCell ref="F16:H16"/>
    <mergeCell ref="F17:H17"/>
    <mergeCell ref="F18:H18"/>
    <mergeCell ref="F36:H36"/>
    <mergeCell ref="F37:H37"/>
    <mergeCell ref="F38:H38"/>
    <mergeCell ref="F33:H33"/>
    <mergeCell ref="F34:H34"/>
    <mergeCell ref="F29:H29"/>
    <mergeCell ref="F30:H30"/>
    <mergeCell ref="F31:H31"/>
    <mergeCell ref="F20:H20"/>
    <mergeCell ref="F23:H23"/>
    <mergeCell ref="F24:H24"/>
    <mergeCell ref="F25:H25"/>
    <mergeCell ref="F26:H26"/>
    <mergeCell ref="F28:H28"/>
    <mergeCell ref="U6:V6"/>
    <mergeCell ref="W6:X6"/>
    <mergeCell ref="J18:M18"/>
    <mergeCell ref="J35:M35"/>
    <mergeCell ref="J36:M36"/>
    <mergeCell ref="J37:M37"/>
    <mergeCell ref="J38:M38"/>
    <mergeCell ref="J33:M33"/>
    <mergeCell ref="J34:M34"/>
    <mergeCell ref="J28:M28"/>
    <mergeCell ref="J29:M29"/>
    <mergeCell ref="J30:M30"/>
    <mergeCell ref="J31:M31"/>
    <mergeCell ref="J19:M19"/>
    <mergeCell ref="J20:M20"/>
    <mergeCell ref="J23:M23"/>
    <mergeCell ref="J24:M24"/>
    <mergeCell ref="J25:M25"/>
    <mergeCell ref="J26:M26"/>
    <mergeCell ref="F47:H47"/>
    <mergeCell ref="J41:M41"/>
    <mergeCell ref="Y7:Z7"/>
    <mergeCell ref="AA7:AB7"/>
    <mergeCell ref="F39:H39"/>
    <mergeCell ref="J39:M39"/>
    <mergeCell ref="F35:H35"/>
    <mergeCell ref="AG6:AH6"/>
    <mergeCell ref="AC6:AD6"/>
    <mergeCell ref="AC7:AD7"/>
    <mergeCell ref="AC8:AD8"/>
    <mergeCell ref="AG7:AH7"/>
    <mergeCell ref="AG8:AH8"/>
    <mergeCell ref="J15:M15"/>
    <mergeCell ref="J16:M16"/>
    <mergeCell ref="J17:M17"/>
    <mergeCell ref="J8:M8"/>
    <mergeCell ref="J9:M9"/>
    <mergeCell ref="J10:M10"/>
    <mergeCell ref="J11:M11"/>
    <mergeCell ref="J12:M12"/>
    <mergeCell ref="J13:M13"/>
    <mergeCell ref="J14:M14"/>
    <mergeCell ref="O8:P8"/>
    <mergeCell ref="J42:M42"/>
    <mergeCell ref="J43:M43"/>
    <mergeCell ref="Y6:Z6"/>
    <mergeCell ref="AA6:AB6"/>
    <mergeCell ref="B49:D49"/>
    <mergeCell ref="F49:H49"/>
    <mergeCell ref="J49:M49"/>
    <mergeCell ref="J45:M45"/>
    <mergeCell ref="J46:M46"/>
    <mergeCell ref="J47:M47"/>
    <mergeCell ref="B27:D27"/>
    <mergeCell ref="F27:H27"/>
    <mergeCell ref="J27:M27"/>
    <mergeCell ref="B41:D41"/>
    <mergeCell ref="B42:D42"/>
    <mergeCell ref="B43:D43"/>
    <mergeCell ref="B45:D45"/>
    <mergeCell ref="B46:D46"/>
    <mergeCell ref="B47:D47"/>
    <mergeCell ref="F41:H41"/>
    <mergeCell ref="F42:H42"/>
    <mergeCell ref="F43:H43"/>
    <mergeCell ref="F45:H45"/>
    <mergeCell ref="F46:H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Input</vt:lpstr>
      <vt:lpstr>Results</vt:lpstr>
      <vt:lpstr>Graphs</vt:lpstr>
      <vt:lpstr>Calculations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cyradis</dc:creator>
  <cp:lastModifiedBy>cyradis</cp:lastModifiedBy>
  <dcterms:created xsi:type="dcterms:W3CDTF">2021-07-08T20:41:20Z</dcterms:created>
  <dcterms:modified xsi:type="dcterms:W3CDTF">2022-12-21T23:22:06Z</dcterms:modified>
</cp:coreProperties>
</file>