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jbarnes\Documents\chromite\komatiites\"/>
    </mc:Choice>
  </mc:AlternateContent>
  <xr:revisionPtr revIDLastSave="0" documentId="13_ncr:1_{FE8C51DA-26ED-41F8-B8B2-80FC2F4A2A27}" xr6:coauthVersionLast="36" xr6:coauthVersionMax="36" xr10:uidLastSave="{00000000-0000-0000-0000-000000000000}"/>
  <bookViews>
    <workbookView xWindow="0" yWindow="690" windowWidth="23040" windowHeight="9060" xr2:uid="{FFC56792-FC80-450E-8AC4-E79C5AC57FBE}"/>
  </bookViews>
  <sheets>
    <sheet name="Location" sheetId="1" r:id="rId1"/>
    <sheet name="whole rock" sheetId="2" r:id="rId2"/>
    <sheet name="ref chromite" sheetId="5" r:id="rId3"/>
    <sheet name="ref silicates" sheetId="6" r:id="rId4"/>
    <sheet name="chromite" sheetId="4" r:id="rId5"/>
    <sheet name="silicates" sheetId="7" r:id="rId6"/>
    <sheet name="probe" sheetId="3" r:id="rId7"/>
  </sheets>
  <externalReferences>
    <externalReference r:id="rId8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31" i="4" l="1"/>
  <c r="S30" i="4"/>
  <c r="S29" i="4"/>
  <c r="S28" i="4"/>
  <c r="S27" i="4"/>
  <c r="S26" i="4"/>
  <c r="S25" i="4"/>
  <c r="S24" i="4"/>
  <c r="S23" i="4"/>
  <c r="S22" i="4"/>
  <c r="S21" i="4"/>
  <c r="S20" i="4"/>
  <c r="S19" i="4"/>
  <c r="S18" i="4"/>
  <c r="S17" i="4"/>
  <c r="S16" i="4"/>
  <c r="S15" i="4"/>
  <c r="S14" i="4"/>
  <c r="S13" i="4"/>
  <c r="S12" i="4"/>
  <c r="S11" i="4"/>
  <c r="S10" i="4"/>
  <c r="S9" i="4"/>
  <c r="Q30" i="6" l="1"/>
  <c r="J25" i="3" l="1"/>
  <c r="J24" i="3"/>
  <c r="J23" i="3"/>
  <c r="J22" i="3"/>
  <c r="J20" i="3"/>
  <c r="J19" i="3"/>
  <c r="J18" i="3"/>
  <c r="J17" i="3"/>
  <c r="J16" i="3"/>
  <c r="J15" i="3"/>
  <c r="J14" i="3"/>
  <c r="J13" i="3"/>
  <c r="J12" i="3"/>
  <c r="J11" i="3"/>
  <c r="J10" i="3"/>
  <c r="J9" i="3"/>
  <c r="J8" i="3"/>
  <c r="J7" i="3"/>
  <c r="J28" i="3"/>
  <c r="J27" i="3"/>
  <c r="AV35" i="4" l="1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U26" i="6"/>
  <c r="Q23" i="6"/>
  <c r="Q26" i="6" s="1"/>
  <c r="I23" i="6"/>
  <c r="I30" i="6" s="1"/>
  <c r="I26" i="6" s="1"/>
  <c r="AM23" i="7"/>
  <c r="AL23" i="7"/>
  <c r="AK23" i="7"/>
  <c r="AJ23" i="7"/>
  <c r="AI23" i="7"/>
  <c r="AH23" i="7"/>
  <c r="AG23" i="7"/>
  <c r="AF23" i="7"/>
  <c r="AE23" i="7"/>
  <c r="AC23" i="7"/>
  <c r="AB23" i="7"/>
  <c r="AA23" i="7"/>
  <c r="Z23" i="7"/>
  <c r="Y23" i="7"/>
  <c r="X23" i="7"/>
  <c r="W23" i="7"/>
  <c r="V23" i="7"/>
  <c r="U23" i="7"/>
  <c r="T23" i="7"/>
  <c r="S23" i="7"/>
  <c r="R23" i="7"/>
  <c r="Q23" i="7"/>
  <c r="P23" i="7"/>
  <c r="O23" i="7"/>
  <c r="N23" i="7"/>
  <c r="M23" i="7"/>
  <c r="L23" i="7"/>
  <c r="K23" i="7"/>
  <c r="J23" i="7"/>
  <c r="I23" i="7"/>
  <c r="H23" i="7"/>
  <c r="G23" i="7"/>
  <c r="F23" i="7"/>
  <c r="E23" i="7"/>
  <c r="H34" i="5" l="1"/>
  <c r="H35" i="5" s="1"/>
  <c r="H43" i="5"/>
  <c r="Q48" i="5"/>
  <c r="Z49" i="5" l="1"/>
  <c r="Y55" i="5"/>
  <c r="AO14" i="7" l="1"/>
  <c r="AO13" i="7"/>
  <c r="AO12" i="7"/>
  <c r="AO11" i="7"/>
  <c r="AO10" i="7"/>
  <c r="AO6" i="7"/>
  <c r="AO7" i="7"/>
  <c r="AO8" i="7"/>
  <c r="AO5" i="7"/>
  <c r="AO9" i="7"/>
  <c r="AA8" i="5" l="1"/>
  <c r="N20" i="7" l="1"/>
  <c r="M20" i="7"/>
  <c r="L20" i="7"/>
  <c r="K20" i="7"/>
  <c r="J20" i="7"/>
  <c r="I20" i="7"/>
  <c r="H20" i="7"/>
  <c r="G20" i="7"/>
  <c r="F20" i="7"/>
  <c r="E20" i="7"/>
  <c r="H21" i="7"/>
  <c r="AD14" i="7"/>
  <c r="AD13" i="7"/>
  <c r="AD12" i="7"/>
  <c r="AD11" i="7"/>
  <c r="AD10" i="7"/>
  <c r="AD6" i="7"/>
  <c r="AD7" i="7"/>
  <c r="AD8" i="7"/>
  <c r="AD5" i="7"/>
  <c r="AD9" i="7"/>
  <c r="N19" i="7"/>
  <c r="L19" i="7"/>
  <c r="M19" i="7"/>
  <c r="K19" i="7"/>
  <c r="I19" i="7"/>
  <c r="H19" i="7"/>
  <c r="F19" i="7"/>
  <c r="E19" i="7"/>
  <c r="G19" i="7"/>
  <c r="P14" i="7" l="1"/>
  <c r="P13" i="7"/>
  <c r="P12" i="7"/>
  <c r="P11" i="7"/>
  <c r="P10" i="7"/>
  <c r="P15" i="7"/>
  <c r="I8" i="7"/>
  <c r="P8" i="7" s="1"/>
  <c r="P5" i="7"/>
  <c r="P6" i="7"/>
  <c r="P7" i="7"/>
  <c r="P9" i="7"/>
  <c r="X55" i="5" l="1"/>
  <c r="J26" i="3" l="1"/>
  <c r="H21" i="3"/>
  <c r="E21" i="3"/>
  <c r="C21" i="3"/>
  <c r="D21" i="3"/>
  <c r="F21" i="3"/>
  <c r="I21" i="3"/>
  <c r="G21" i="3"/>
  <c r="J21" i="3" l="1"/>
  <c r="O27" i="2"/>
  <c r="P27" i="2" s="1"/>
  <c r="P37" i="2"/>
  <c r="P36" i="2"/>
  <c r="P35" i="2"/>
  <c r="P31" i="2"/>
  <c r="P28" i="2"/>
  <c r="P26" i="2"/>
  <c r="P29" i="2"/>
  <c r="P25" i="2"/>
  <c r="P30" i="2"/>
  <c r="P21" i="2"/>
  <c r="P20" i="2"/>
  <c r="P19" i="2"/>
  <c r="P18" i="2"/>
  <c r="P17" i="2"/>
  <c r="P16" i="2"/>
  <c r="P15" i="2"/>
  <c r="P14" i="2"/>
  <c r="P13" i="2"/>
  <c r="P12" i="2"/>
  <c r="P11" i="2"/>
  <c r="P10" i="2"/>
  <c r="P9" i="2"/>
  <c r="P8" i="2"/>
</calcChain>
</file>

<file path=xl/sharedStrings.xml><?xml version="1.0" encoding="utf-8"?>
<sst xmlns="http://schemas.openxmlformats.org/spreadsheetml/2006/main" count="1615" uniqueCount="452">
  <si>
    <t>Olivine flow</t>
  </si>
  <si>
    <t>spinifex olivine</t>
  </si>
  <si>
    <t>cumulat olivine</t>
  </si>
  <si>
    <t>Sample</t>
  </si>
  <si>
    <t>AX 19</t>
  </si>
  <si>
    <t>AX 20</t>
  </si>
  <si>
    <t>AX 21</t>
  </si>
  <si>
    <t>AX 23</t>
  </si>
  <si>
    <t>AX 43</t>
  </si>
  <si>
    <t>AX 48</t>
  </si>
  <si>
    <t>AX 59</t>
  </si>
  <si>
    <t>AX 63</t>
  </si>
  <si>
    <t>AX 64</t>
  </si>
  <si>
    <t>AX 65</t>
  </si>
  <si>
    <t>AX 72</t>
  </si>
  <si>
    <t>UTM X</t>
  </si>
  <si>
    <t>UTM Y</t>
  </si>
  <si>
    <t>Flow</t>
  </si>
  <si>
    <t>Texture</t>
  </si>
  <si>
    <t>spinifex pyroxene</t>
  </si>
  <si>
    <t>Location and sample texture</t>
  </si>
  <si>
    <t>MnO</t>
  </si>
  <si>
    <t>MgO</t>
  </si>
  <si>
    <t>CaO</t>
  </si>
  <si>
    <t>K2O</t>
  </si>
  <si>
    <t>S</t>
  </si>
  <si>
    <t>LOI</t>
  </si>
  <si>
    <t>Total</t>
  </si>
  <si>
    <t>Ba</t>
  </si>
  <si>
    <t>Be</t>
  </si>
  <si>
    <t>Bi</t>
  </si>
  <si>
    <t>Cd</t>
  </si>
  <si>
    <t>Ce</t>
  </si>
  <si>
    <t>Co</t>
  </si>
  <si>
    <t>Cr</t>
  </si>
  <si>
    <t>Cs</t>
  </si>
  <si>
    <t>Cu</t>
  </si>
  <si>
    <t>Dy</t>
  </si>
  <si>
    <t>Er</t>
  </si>
  <si>
    <t>Eu</t>
  </si>
  <si>
    <t>Ga</t>
  </si>
  <si>
    <t>Gd</t>
  </si>
  <si>
    <t>Hf</t>
  </si>
  <si>
    <t>Ho</t>
  </si>
  <si>
    <t>In</t>
  </si>
  <si>
    <t>La</t>
  </si>
  <si>
    <t>Li</t>
  </si>
  <si>
    <t>Lu</t>
  </si>
  <si>
    <t>Mo</t>
  </si>
  <si>
    <t>Nb</t>
  </si>
  <si>
    <t>Nd</t>
  </si>
  <si>
    <t>Ni</t>
  </si>
  <si>
    <t>Pb</t>
  </si>
  <si>
    <t>Pr</t>
  </si>
  <si>
    <t>Rb</t>
  </si>
  <si>
    <t>Sb</t>
  </si>
  <si>
    <t>Sc</t>
  </si>
  <si>
    <t>Sm</t>
  </si>
  <si>
    <t>Sn</t>
  </si>
  <si>
    <t>Sr</t>
  </si>
  <si>
    <t>Ta</t>
  </si>
  <si>
    <t>Tb</t>
  </si>
  <si>
    <t>Th</t>
  </si>
  <si>
    <t>Ti</t>
  </si>
  <si>
    <t>Tl</t>
  </si>
  <si>
    <t>Tm</t>
  </si>
  <si>
    <t>U</t>
  </si>
  <si>
    <t>V</t>
  </si>
  <si>
    <t>W</t>
  </si>
  <si>
    <t>Y</t>
  </si>
  <si>
    <t>Yb</t>
  </si>
  <si>
    <t>Zn</t>
  </si>
  <si>
    <t>Zr</t>
  </si>
  <si>
    <t>Ru</t>
  </si>
  <si>
    <t>Rh</t>
  </si>
  <si>
    <t>Pd</t>
  </si>
  <si>
    <t>Os</t>
  </si>
  <si>
    <t>Ir</t>
  </si>
  <si>
    <t>Pt</t>
  </si>
  <si>
    <t>Au</t>
  </si>
  <si>
    <t>Mg#</t>
  </si>
  <si>
    <t>&lt; 0,01</t>
  </si>
  <si>
    <t>&lt;0,023</t>
  </si>
  <si>
    <t>&lt;ld</t>
  </si>
  <si>
    <t>&lt;0,15</t>
  </si>
  <si>
    <t>&lt;0,04</t>
  </si>
  <si>
    <t>AX19</t>
  </si>
  <si>
    <t>&lt;0,6</t>
  </si>
  <si>
    <t>AX20</t>
  </si>
  <si>
    <t>AX21</t>
  </si>
  <si>
    <t>AX22</t>
  </si>
  <si>
    <t>AX23</t>
  </si>
  <si>
    <t>AX24</t>
  </si>
  <si>
    <t>&lt;0,16</t>
  </si>
  <si>
    <t>&lt;0,005</t>
  </si>
  <si>
    <t>n.d</t>
  </si>
  <si>
    <t>AX43</t>
  </si>
  <si>
    <t>&gt;141</t>
  </si>
  <si>
    <t>AX48</t>
  </si>
  <si>
    <t>massive</t>
  </si>
  <si>
    <t>AX62</t>
  </si>
  <si>
    <t>AX63</t>
  </si>
  <si>
    <t>AX64</t>
  </si>
  <si>
    <t>&lt; 0.01</t>
  </si>
  <si>
    <t>&lt;2</t>
  </si>
  <si>
    <t>&lt;5</t>
  </si>
  <si>
    <t>AX65</t>
  </si>
  <si>
    <t>cpx flow</t>
  </si>
  <si>
    <t>nd</t>
  </si>
  <si>
    <t>stringbeef</t>
  </si>
  <si>
    <t xml:space="preserve"> skeletal between cpx layers</t>
  </si>
  <si>
    <t>ol flow</t>
  </si>
  <si>
    <t>A3</t>
  </si>
  <si>
    <t>A2</t>
  </si>
  <si>
    <t>A1</t>
  </si>
  <si>
    <t>AX37</t>
  </si>
  <si>
    <t>B2</t>
  </si>
  <si>
    <t>random cpx</t>
  </si>
  <si>
    <t>locality 1</t>
  </si>
  <si>
    <t>locality 2</t>
  </si>
  <si>
    <t>texture</t>
  </si>
  <si>
    <t>SiO[2]</t>
  </si>
  <si>
    <t>TiO[2]</t>
  </si>
  <si>
    <t>Al[2]O[3]</t>
  </si>
  <si>
    <t>FeOt</t>
  </si>
  <si>
    <t>Na[2]O</t>
  </si>
  <si>
    <t>P[2]O[5]</t>
  </si>
  <si>
    <t>Cr[2]O[3]</t>
  </si>
  <si>
    <t>spinifex</t>
  </si>
  <si>
    <t>hyloclastite</t>
  </si>
  <si>
    <t>mixed</t>
  </si>
  <si>
    <t>Analyzed at Geolabs Ontario</t>
  </si>
  <si>
    <t>wt%</t>
  </si>
  <si>
    <t>ppm</t>
  </si>
  <si>
    <t>ppb</t>
  </si>
  <si>
    <t>method</t>
  </si>
  <si>
    <t>XRF</t>
  </si>
  <si>
    <t>INAA</t>
  </si>
  <si>
    <t>ICP-MS</t>
  </si>
  <si>
    <t>IR</t>
  </si>
  <si>
    <t>NI-FA-ICP-MS</t>
  </si>
  <si>
    <t>LA-ICP-MS</t>
  </si>
  <si>
    <t>units</t>
  </si>
  <si>
    <t>Analyzed at UQAC using a line scan of thin section.</t>
  </si>
  <si>
    <t>Microprobe analyses</t>
  </si>
  <si>
    <t>Laval Universite, Quebec City</t>
  </si>
  <si>
    <t>Acquisition information :</t>
  </si>
  <si>
    <t>Elt. Line</t>
  </si>
  <si>
    <t>Spec</t>
  </si>
  <si>
    <t>Xtal</t>
  </si>
  <si>
    <t>Peak</t>
  </si>
  <si>
    <t>Pk Time</t>
  </si>
  <si>
    <t>Bg Off1</t>
  </si>
  <si>
    <t>Slope/IBg</t>
  </si>
  <si>
    <t>Bg Time</t>
  </si>
  <si>
    <t>Calibration</t>
  </si>
  <si>
    <t>Intensity</t>
  </si>
  <si>
    <t>Time/Repeat</t>
  </si>
  <si>
    <t>#Channels</t>
  </si>
  <si>
    <t>(cps/nA)</t>
  </si>
  <si>
    <t>Na Ka</t>
  </si>
  <si>
    <t>Sp4</t>
  </si>
  <si>
    <t>TAP</t>
  </si>
  <si>
    <t>alb_15kV_NaKa-Sp4-TAP_NaKa-Sp5-TAP_001manualPHA_001</t>
  </si>
  <si>
    <t>Mg Ka</t>
  </si>
  <si>
    <t>Sp5</t>
  </si>
  <si>
    <t>mgo_15kV_MgKa-Sp4-TAP_MgKa-Sp5-TAP_001manualPHA_001</t>
  </si>
  <si>
    <t>Al Ka</t>
  </si>
  <si>
    <t>plagvz_15kV_AlKa-Sp4-TAP_AlKa-Sp5-TAP_001manualPHA_001</t>
  </si>
  <si>
    <t>Si Ka</t>
  </si>
  <si>
    <t>QtzT_15kV_SiKa-Sp4-TAP_SiKa-Sp5-TAP_001-manualPHA_001</t>
  </si>
  <si>
    <t>Ti Ka</t>
  </si>
  <si>
    <t>Sp3</t>
  </si>
  <si>
    <t>LPET</t>
  </si>
  <si>
    <t>rut_15kV_TiKa-Sp1-LIF_TiKa-Sp2-LLIF_TiKa-Sp3-LPET_001manualPHA_001</t>
  </si>
  <si>
    <t>Ca Ka</t>
  </si>
  <si>
    <t>diop_15kV_CaKa-Sp3-LPET_001manualPHA_001</t>
  </si>
  <si>
    <t>Fe Ka</t>
  </si>
  <si>
    <t>Sp2</t>
  </si>
  <si>
    <t>LLIF</t>
  </si>
  <si>
    <t>hemvz_15kV_FeKa-Sp1-LIF_FeKa-Sp2-LLIF_001diffPHA_002</t>
  </si>
  <si>
    <t>Cr Ka</t>
  </si>
  <si>
    <t>chromi_15kV_CrKa-Sp1-LIF_CrKa-Sp2-LLIF_CrKa-Sp3-LLIF_001diffPHA_001</t>
  </si>
  <si>
    <t>Mn Ka</t>
  </si>
  <si>
    <t>Sp1</t>
  </si>
  <si>
    <t>LIF</t>
  </si>
  <si>
    <t>rhodo_15kV_MnKa-Sp1-LIF_MnKa-Sp2-LLIF_001diffPHA_001</t>
  </si>
  <si>
    <t>Ni Ka</t>
  </si>
  <si>
    <t>nick_15kV_NiKa-Sp1-LIF_NiKa-Sp2-LLIF_001diffPHA_001</t>
  </si>
  <si>
    <t>V  Ka</t>
  </si>
  <si>
    <t>V-ATX_15kV_VKa-Sp1-LIF_VKa-Sp2-LLIF_VKa-Sp3-LLIF_001diffPHA_001</t>
  </si>
  <si>
    <t>Eds Time = 60s</t>
  </si>
  <si>
    <t>HV (kV) : 15</t>
  </si>
  <si>
    <t>I (nA) : 20</t>
  </si>
  <si>
    <t>Size (µm) : 5</t>
  </si>
  <si>
    <t>Scanning : Off</t>
  </si>
  <si>
    <t>RasterLength (µm) : 300.09</t>
  </si>
  <si>
    <t xml:space="preserve">HV (kV) </t>
  </si>
  <si>
    <t xml:space="preserve">I (nA) </t>
  </si>
  <si>
    <t>Determined at Universite du Quebec a Chicoutimi</t>
  </si>
  <si>
    <t xml:space="preserve">    SiO2</t>
  </si>
  <si>
    <t xml:space="preserve">    TiO2</t>
  </si>
  <si>
    <t xml:space="preserve">   Al2O3</t>
  </si>
  <si>
    <t xml:space="preserve">   Cr2O3</t>
  </si>
  <si>
    <t xml:space="preserve">     MgO</t>
  </si>
  <si>
    <t xml:space="preserve">     MnO</t>
  </si>
  <si>
    <t>n</t>
  </si>
  <si>
    <t>FeO</t>
  </si>
  <si>
    <t>Al2O3</t>
  </si>
  <si>
    <t>sample</t>
  </si>
  <si>
    <t>Comment</t>
  </si>
  <si>
    <t>Fe3+/(Fe3++Fe2+)</t>
  </si>
  <si>
    <t>Cr#</t>
  </si>
  <si>
    <t>Cr/3+</t>
  </si>
  <si>
    <t>Fe/3+</t>
  </si>
  <si>
    <t>Al/3+</t>
  </si>
  <si>
    <t>Fe2O3</t>
  </si>
  <si>
    <t>microprobe</t>
  </si>
  <si>
    <t>Chromite Analyses</t>
  </si>
  <si>
    <t>LA-ICP-MS LabMaTer UQAC</t>
  </si>
  <si>
    <t xml:space="preserve">AX59 </t>
  </si>
  <si>
    <t>stringbeef cpx</t>
  </si>
  <si>
    <t>AX68/5018</t>
  </si>
  <si>
    <t>AX70/5020</t>
  </si>
  <si>
    <t>AX71/5023</t>
  </si>
  <si>
    <t>AX72/5025</t>
  </si>
  <si>
    <t>AX74/5026</t>
  </si>
  <si>
    <t>AX75/5040</t>
  </si>
  <si>
    <t xml:space="preserve">SiO2 </t>
  </si>
  <si>
    <t xml:space="preserve">Cr2O3 </t>
  </si>
  <si>
    <t xml:space="preserve">TiO2 </t>
  </si>
  <si>
    <t>&lt;0.1</t>
  </si>
  <si>
    <t>&lt;0.011</t>
  </si>
  <si>
    <t>&lt;0.02</t>
  </si>
  <si>
    <t>&lt;0.021</t>
  </si>
  <si>
    <t>Microprobe Results</t>
  </si>
  <si>
    <t>Column condition(s) :</t>
  </si>
  <si>
    <t>*****************************************************************************************</t>
  </si>
  <si>
    <t>Mg24_ppm_mean</t>
  </si>
  <si>
    <t>Al27_ppm_mean</t>
  </si>
  <si>
    <t>Si29_ppm_mean</t>
  </si>
  <si>
    <t>P31_ppm_mean</t>
  </si>
  <si>
    <t>S34_ppm_mean</t>
  </si>
  <si>
    <t>Ca44_ppm_mean</t>
  </si>
  <si>
    <t>Sc45_ppm_mean</t>
  </si>
  <si>
    <t>Ti49_ppm_mean</t>
  </si>
  <si>
    <t>V51_ppm_mean</t>
  </si>
  <si>
    <t>Cr52_ppm_mean</t>
  </si>
  <si>
    <t>Mn55_ppm_mean</t>
  </si>
  <si>
    <t>Fe57_ppm_mean</t>
  </si>
  <si>
    <t>Co59_ppm_mean</t>
  </si>
  <si>
    <t>Ni60_ppm_mean</t>
  </si>
  <si>
    <t>Cu63_ppm_mean</t>
  </si>
  <si>
    <t>Zn66_ppm_mean</t>
  </si>
  <si>
    <t>Ga71_ppm_mean</t>
  </si>
  <si>
    <t>Ge73_ppm_mean</t>
  </si>
  <si>
    <t>Y89_ppm_mean</t>
  </si>
  <si>
    <t>Zr90_ppm_mean</t>
  </si>
  <si>
    <t>Nb93_ppm_mean</t>
  </si>
  <si>
    <t>Mo95_ppm_mean</t>
  </si>
  <si>
    <t>Ru101_ppm_mean</t>
  </si>
  <si>
    <t>Ru102_ppm_mean</t>
  </si>
  <si>
    <t>Rh103_ppm_mean</t>
  </si>
  <si>
    <t>Pd108_ppm_mean</t>
  </si>
  <si>
    <t>Cd111_ppm_mean</t>
  </si>
  <si>
    <t>In115_ppm_mean</t>
  </si>
  <si>
    <t>Sn118_ppm_mean</t>
  </si>
  <si>
    <t>Hf178_ppm_mean</t>
  </si>
  <si>
    <t>Ta181_ppm_mean</t>
  </si>
  <si>
    <t>W182_ppm_mean</t>
  </si>
  <si>
    <t>Re185_ppm_mean</t>
  </si>
  <si>
    <t>Os189_ppm_mean</t>
  </si>
  <si>
    <t>Ir193_ppm_mean</t>
  </si>
  <si>
    <t>Pt195_ppm_mean</t>
  </si>
  <si>
    <t>Au197_ppm_mean</t>
  </si>
  <si>
    <t>G_GSE-1g</t>
  </si>
  <si>
    <t>calibrant</t>
  </si>
  <si>
    <t>Reference Values</t>
  </si>
  <si>
    <t/>
  </si>
  <si>
    <t>IS</t>
  </si>
  <si>
    <t>Sulf_UQAC-FeS-1-A</t>
  </si>
  <si>
    <t>RDS%</t>
  </si>
  <si>
    <t>&lt;0.03</t>
  </si>
  <si>
    <t>&lt;0.017</t>
  </si>
  <si>
    <t>&lt;0.028</t>
  </si>
  <si>
    <t>G-Probe6</t>
  </si>
  <si>
    <t>G_NIST616</t>
  </si>
  <si>
    <t>Si interference</t>
  </si>
  <si>
    <t>Sulf_ISS4-CuBLK</t>
  </si>
  <si>
    <t>CuBLK-1.csv</t>
  </si>
  <si>
    <t>BelowLOD</t>
  </si>
  <si>
    <t>CuBLK-2.csv</t>
  </si>
  <si>
    <t>Sulf_Ni-BLNK</t>
  </si>
  <si>
    <t>NiBLK-1.csv</t>
  </si>
  <si>
    <t>NiBLK-2.csv</t>
  </si>
  <si>
    <t>G_NIST610</t>
  </si>
  <si>
    <t>RDS %</t>
  </si>
  <si>
    <t>Cd corrrected</t>
  </si>
  <si>
    <t>dif %</t>
  </si>
  <si>
    <t>Working  Value</t>
  </si>
  <si>
    <t>Pd inter</t>
  </si>
  <si>
    <t>&lt;0.01</t>
  </si>
  <si>
    <t>&lt;4</t>
  </si>
  <si>
    <t>&lt;0.014</t>
  </si>
  <si>
    <t>&lt;0.05</t>
  </si>
  <si>
    <t>&lt;0.005</t>
  </si>
  <si>
    <t>Na23_ppm_mean</t>
  </si>
  <si>
    <t>K39_ppm_mean</t>
  </si>
  <si>
    <t>Ce140_ppm_mean</t>
  </si>
  <si>
    <t>Nd146_ppm_mean</t>
  </si>
  <si>
    <t>Sm147_ppm_mean</t>
  </si>
  <si>
    <t>Eu153_ppm_mean</t>
  </si>
  <si>
    <t>Gd157_ppm_mean</t>
  </si>
  <si>
    <t>Er166_ppm_mean</t>
  </si>
  <si>
    <t>Lu175_ppm_mean</t>
  </si>
  <si>
    <t>G_NIST610_GeoReM</t>
  </si>
  <si>
    <t>SiO2</t>
  </si>
  <si>
    <t>TiO2</t>
  </si>
  <si>
    <t>Na2O</t>
  </si>
  <si>
    <t>P2O5</t>
  </si>
  <si>
    <t>Cr2O3</t>
  </si>
  <si>
    <t>5008 ol n=5</t>
  </si>
  <si>
    <t>5004 ol n=3</t>
  </si>
  <si>
    <t>5018  ol n=6</t>
  </si>
  <si>
    <t>AX48  ol n-=2</t>
  </si>
  <si>
    <t>5014 ol n=1</t>
  </si>
  <si>
    <t>AX62 pl n=1</t>
  </si>
  <si>
    <t>Laser ablation analysis of silicates</t>
  </si>
  <si>
    <t>AX19 all cpx n=7</t>
  </si>
  <si>
    <t>AX62 all cpx avg n=10</t>
  </si>
  <si>
    <t>AX62 Hi-Ca cpx n=5</t>
  </si>
  <si>
    <t>&lt;LOD</t>
  </si>
  <si>
    <t>LOD</t>
  </si>
  <si>
    <t>Sc45</t>
  </si>
  <si>
    <t>Ti49</t>
  </si>
  <si>
    <t>V51</t>
  </si>
  <si>
    <t>Mn55</t>
  </si>
  <si>
    <t>Co59</t>
  </si>
  <si>
    <t>Ni60</t>
  </si>
  <si>
    <t>Cu63</t>
  </si>
  <si>
    <t>Zn66</t>
  </si>
  <si>
    <t>Ga71</t>
  </si>
  <si>
    <t>Ge73</t>
  </si>
  <si>
    <t>Y89</t>
  </si>
  <si>
    <t>Zr90</t>
  </si>
  <si>
    <t>Nb93</t>
  </si>
  <si>
    <t>Mo95</t>
  </si>
  <si>
    <t>Ru102</t>
  </si>
  <si>
    <t>Rh103</t>
  </si>
  <si>
    <t>Pd108</t>
  </si>
  <si>
    <t>Cd111</t>
  </si>
  <si>
    <t>In115</t>
  </si>
  <si>
    <t>Sn118</t>
  </si>
  <si>
    <t>Hf178</t>
  </si>
  <si>
    <t>Ta181</t>
  </si>
  <si>
    <t>W182</t>
  </si>
  <si>
    <t>Re185</t>
  </si>
  <si>
    <t>Os189</t>
  </si>
  <si>
    <t>Ir193</t>
  </si>
  <si>
    <t>Pt195</t>
  </si>
  <si>
    <t>Au197</t>
  </si>
  <si>
    <t>&lt;0.012</t>
  </si>
  <si>
    <t>Sc correct</t>
  </si>
  <si>
    <t>Longerich</t>
  </si>
  <si>
    <t>Peak counts</t>
  </si>
  <si>
    <t>NIST-616</t>
  </si>
  <si>
    <t>&gt;100</t>
  </si>
  <si>
    <t>1.24?</t>
  </si>
  <si>
    <t>Fe56_ppm_mean</t>
  </si>
  <si>
    <t>La139_ppm_mean</t>
  </si>
  <si>
    <t>Th232_ppm_mean</t>
  </si>
  <si>
    <t>Olivine_MongOL_sh11-2</t>
  </si>
  <si>
    <t>Clinopyroxene flow</t>
  </si>
  <si>
    <t>subhedral olivine</t>
  </si>
  <si>
    <t>Table 2</t>
  </si>
  <si>
    <t>subhedral</t>
  </si>
  <si>
    <t>massive flow</t>
  </si>
  <si>
    <t>Analyzed at University of Toronto Barnes et al. (1983) Contributions Mineralogy and Petrology</t>
  </si>
  <si>
    <t>AX67/5012</t>
  </si>
  <si>
    <t>Ax71/5023</t>
  </si>
  <si>
    <t>Whole Rock Analyses</t>
  </si>
  <si>
    <t>Table 3</t>
  </si>
  <si>
    <t xml:space="preserve">AX19                                                </t>
  </si>
  <si>
    <t xml:space="preserve">AX20                                               </t>
  </si>
  <si>
    <t xml:space="preserve">AX21                                                 </t>
  </si>
  <si>
    <t xml:space="preserve">AX23                                                 </t>
  </si>
  <si>
    <t xml:space="preserve">AX24                                                  </t>
  </si>
  <si>
    <t xml:space="preserve">AX37                                                </t>
  </si>
  <si>
    <t xml:space="preserve">AX48                                                </t>
  </si>
  <si>
    <t xml:space="preserve">AX59                                                </t>
  </si>
  <si>
    <t xml:space="preserve">AX62                                                 </t>
  </si>
  <si>
    <t xml:space="preserve">AX65                                                 </t>
  </si>
  <si>
    <t xml:space="preserve">AX69                                                </t>
  </si>
  <si>
    <t>laser only</t>
  </si>
  <si>
    <t>LOD based on background counts Longerich</t>
  </si>
  <si>
    <t>&lt;0.034</t>
  </si>
  <si>
    <t>Table 4</t>
  </si>
  <si>
    <t>&lt;0.11</t>
  </si>
  <si>
    <t>Table 5</t>
  </si>
  <si>
    <t>Reference Material for chromites</t>
  </si>
  <si>
    <t>This run n=5</t>
  </si>
  <si>
    <t>diff %</t>
  </si>
  <si>
    <t>Table 6</t>
  </si>
  <si>
    <t>AX19 Hi-Ca cpx n=5</t>
  </si>
  <si>
    <t>AX19 Lo-Ca cpx n-2</t>
  </si>
  <si>
    <t>&lt;</t>
  </si>
  <si>
    <t>&lt;1.8</t>
  </si>
  <si>
    <t xml:space="preserve">locality </t>
  </si>
  <si>
    <t>orienated spinifex</t>
  </si>
  <si>
    <t>random spinifex</t>
  </si>
  <si>
    <t>suhedral olivine</t>
  </si>
  <si>
    <t>correction factor ppm Ru per ppm Ni</t>
  </si>
  <si>
    <t>correction factor ppm Rh per ppm Cu</t>
  </si>
  <si>
    <t>correction factor ppm Sc per ppm Si</t>
  </si>
  <si>
    <t>This run n=3</t>
  </si>
  <si>
    <t>This run n=4</t>
  </si>
  <si>
    <t>Corrected for Si</t>
  </si>
  <si>
    <t>Corrected for Ni</t>
  </si>
  <si>
    <t>Corrected for Cu</t>
  </si>
  <si>
    <t xml:space="preserve">based on </t>
  </si>
  <si>
    <t>background</t>
  </si>
  <si>
    <t>Interference</t>
  </si>
  <si>
    <t>MDL</t>
  </si>
  <si>
    <t>Table 7</t>
  </si>
  <si>
    <t>average n=3</t>
  </si>
  <si>
    <t>working value</t>
  </si>
  <si>
    <t>difference</t>
  </si>
  <si>
    <t>Cailbrant</t>
  </si>
  <si>
    <t>Reference Materials for Laser Ablation of Silicate Minerals.</t>
  </si>
  <si>
    <t>inteference corrections ppm Sc per ppm Si</t>
  </si>
  <si>
    <t>&lt;0.004</t>
  </si>
  <si>
    <t>&lt;0.022</t>
  </si>
  <si>
    <t>&lt;0.027</t>
  </si>
  <si>
    <t>MLD</t>
  </si>
  <si>
    <t>method limit</t>
  </si>
  <si>
    <t>flow top</t>
  </si>
  <si>
    <t>altered ol spin</t>
  </si>
  <si>
    <t>skeletal olivine</t>
  </si>
  <si>
    <t>cpx</t>
  </si>
  <si>
    <t>altered ol spinifex</t>
  </si>
  <si>
    <t xml:space="preserve"> skeletal olivine</t>
  </si>
  <si>
    <t xml:space="preserve">     FeOt</t>
  </si>
  <si>
    <t>orientated spinifex</t>
  </si>
  <si>
    <t>AX-37 in house ref material</t>
  </si>
  <si>
    <t>BC16 UG2 chromite in house reference material</t>
  </si>
  <si>
    <t xml:space="preserve">Platinum-group element and trace element contents of chromite grains from the Alexo komatiite compared with chromites from volcanic rocks. </t>
  </si>
  <si>
    <t>skelteal olivine</t>
  </si>
  <si>
    <t>LOD based on number of a minium of 10  real counts after allowing for dwell time and length of signal</t>
  </si>
  <si>
    <r>
      <t xml:space="preserve">Figures modified from BARNES, S.-J., GORTON, M. &amp; NALDRETT, A. (1983) A comparative study of olivine and clinopyroxene spinifex flows from Alexo, Abitibi greenstone belt, Ontario, Canada. </t>
    </r>
    <r>
      <rPr>
        <i/>
        <sz val="12"/>
        <color theme="1"/>
        <rFont val="Times New Roman"/>
        <family val="1"/>
      </rPr>
      <t>Contributions to Mineralogy and Petrology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>83</t>
    </r>
    <r>
      <rPr>
        <sz val="12"/>
        <color theme="1"/>
        <rFont val="Times New Roman"/>
        <family val="1"/>
      </rPr>
      <t>, 293-308. and  BARNES, S.-J. (1985) The petrography and geochemistry of komatiite flows from the Abitibi Greenstone Belt and a model for their formation. Lithos 18, 241-270.</t>
    </r>
  </si>
  <si>
    <t>interference corrections</t>
  </si>
  <si>
    <t>Fe#</t>
  </si>
  <si>
    <t>Barnes 2024 Can J Min Pet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</si>
</sst>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0.0000"/>
  </numFmts>
  <fonts count="1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1"/>
      <name val="Calibri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  <font>
      <sz val="10"/>
      <name val="Calibri"/>
      <family val="2"/>
    </font>
    <font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0" xfId="0" applyNumberFormat="1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indent="8"/>
    </xf>
    <xf numFmtId="164" fontId="0" fillId="0" borderId="0" xfId="0" applyNumberFormat="1"/>
    <xf numFmtId="2" fontId="5" fillId="0" borderId="0" xfId="1" applyNumberFormat="1" applyFont="1"/>
    <xf numFmtId="164" fontId="5" fillId="0" borderId="0" xfId="1" applyNumberFormat="1" applyFont="1"/>
    <xf numFmtId="2" fontId="8" fillId="0" borderId="0" xfId="1" applyNumberFormat="1" applyFont="1"/>
    <xf numFmtId="164" fontId="8" fillId="0" borderId="0" xfId="1" applyNumberFormat="1" applyFont="1"/>
    <xf numFmtId="2" fontId="6" fillId="0" borderId="0" xfId="0" applyNumberFormat="1" applyFont="1"/>
    <xf numFmtId="2" fontId="6" fillId="0" borderId="0" xfId="1" applyNumberFormat="1" applyFont="1"/>
    <xf numFmtId="2" fontId="6" fillId="0" borderId="0" xfId="1" applyNumberFormat="1" applyFont="1" applyFill="1"/>
    <xf numFmtId="2" fontId="6" fillId="0" borderId="0" xfId="2" applyNumberFormat="1" applyFont="1"/>
    <xf numFmtId="2" fontId="6" fillId="0" borderId="0" xfId="2" applyNumberFormat="1" applyFont="1" applyFill="1"/>
    <xf numFmtId="164" fontId="6" fillId="0" borderId="0" xfId="1" applyNumberFormat="1" applyFont="1"/>
    <xf numFmtId="164" fontId="6" fillId="0" borderId="0" xfId="2" applyNumberFormat="1" applyFont="1"/>
    <xf numFmtId="164" fontId="6" fillId="0" borderId="0" xfId="0" applyNumberFormat="1" applyFont="1"/>
    <xf numFmtId="11" fontId="8" fillId="0" borderId="0" xfId="1" applyNumberFormat="1" applyFont="1"/>
    <xf numFmtId="0" fontId="5" fillId="0" borderId="0" xfId="0" applyFont="1"/>
    <xf numFmtId="0" fontId="9" fillId="0" borderId="0" xfId="0" applyFont="1"/>
    <xf numFmtId="0" fontId="10" fillId="0" borderId="0" xfId="0" applyFont="1"/>
    <xf numFmtId="2" fontId="11" fillId="0" borderId="0" xfId="1" applyNumberFormat="1" applyFont="1"/>
    <xf numFmtId="0" fontId="0" fillId="0" borderId="0" xfId="0" applyFont="1"/>
    <xf numFmtId="1" fontId="8" fillId="0" borderId="0" xfId="1" applyNumberFormat="1" applyFont="1"/>
    <xf numFmtId="1" fontId="6" fillId="0" borderId="0" xfId="1" applyNumberFormat="1" applyFont="1"/>
    <xf numFmtId="1" fontId="6" fillId="0" borderId="0" xfId="2" applyNumberFormat="1" applyFont="1"/>
    <xf numFmtId="1" fontId="5" fillId="0" borderId="0" xfId="1" applyNumberFormat="1" applyFont="1"/>
    <xf numFmtId="0" fontId="0" fillId="0" borderId="0" xfId="0" applyFill="1"/>
    <xf numFmtId="2" fontId="0" fillId="0" borderId="0" xfId="0" applyNumberFormat="1" applyFill="1"/>
    <xf numFmtId="165" fontId="0" fillId="0" borderId="0" xfId="0" applyNumberFormat="1" applyFill="1"/>
    <xf numFmtId="164" fontId="0" fillId="0" borderId="0" xfId="0" applyNumberFormat="1" applyFill="1"/>
    <xf numFmtId="164" fontId="0" fillId="0" borderId="0" xfId="0" applyNumberFormat="1" applyFill="1" applyAlignment="1">
      <alignment horizontal="right"/>
    </xf>
    <xf numFmtId="1" fontId="0" fillId="0" borderId="0" xfId="0" applyNumberFormat="1" applyFill="1"/>
    <xf numFmtId="2" fontId="0" fillId="0" borderId="0" xfId="0" applyNumberFormat="1" applyFill="1" applyAlignment="1">
      <alignment horizontal="right"/>
    </xf>
    <xf numFmtId="1" fontId="0" fillId="0" borderId="0" xfId="0" applyNumberFormat="1" applyFill="1" applyAlignment="1">
      <alignment horizontal="right"/>
    </xf>
    <xf numFmtId="11" fontId="6" fillId="0" borderId="0" xfId="1" applyNumberFormat="1" applyFont="1"/>
    <xf numFmtId="2" fontId="10" fillId="0" borderId="0" xfId="0" applyNumberFormat="1" applyFont="1"/>
    <xf numFmtId="2" fontId="9" fillId="0" borderId="0" xfId="0" applyNumberFormat="1" applyFont="1"/>
    <xf numFmtId="164" fontId="10" fillId="0" borderId="0" xfId="0" applyNumberFormat="1" applyFont="1"/>
    <xf numFmtId="11" fontId="0" fillId="0" borderId="0" xfId="0" applyNumberFormat="1"/>
    <xf numFmtId="2" fontId="0" fillId="2" borderId="0" xfId="0" applyNumberFormat="1" applyFill="1"/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 indent="4"/>
    </xf>
    <xf numFmtId="2" fontId="10" fillId="0" borderId="0" xfId="1" applyNumberFormat="1" applyFont="1"/>
    <xf numFmtId="0" fontId="2" fillId="0" borderId="0" xfId="0" applyFont="1" applyAlignment="1">
      <alignment horizontal="left" vertical="center" wrapText="1" indent="4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9</xdr:col>
      <xdr:colOff>447675</xdr:colOff>
      <xdr:row>52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F45215E7-54EA-41E3-B584-17EEEED8D10C}"/>
            </a:ext>
          </a:extLst>
        </xdr:cNvPr>
        <xdr:cNvGrpSpPr>
          <a:grpSpLocks noChangeAspect="1"/>
        </xdr:cNvGrpSpPr>
      </xdr:nvGrpSpPr>
      <xdr:grpSpPr>
        <a:xfrm>
          <a:off x="0" y="3124200"/>
          <a:ext cx="7267575" cy="6629400"/>
          <a:chOff x="2413116" y="149474"/>
          <a:chExt cx="7267575" cy="6629400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840DC9D1-5180-4EA2-B952-67379A2C462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2413116" y="149474"/>
            <a:ext cx="7267575" cy="6629400"/>
          </a:xfrm>
          <a:prstGeom prst="rect">
            <a:avLst/>
          </a:prstGeom>
        </xdr:spPr>
      </xdr:pic>
      <xdr:sp macro="" textlink="">
        <xdr:nvSpPr>
          <xdr:cNvPr id="4" name="TextBox 5">
            <a:extLst>
              <a:ext uri="{FF2B5EF4-FFF2-40B4-BE49-F238E27FC236}">
                <a16:creationId xmlns:a16="http://schemas.microsoft.com/office/drawing/2014/main" id="{C6A842B4-B553-4C30-B110-305B0DAE31C3}"/>
              </a:ext>
            </a:extLst>
          </xdr:cNvPr>
          <xdr:cNvSpPr txBox="1"/>
        </xdr:nvSpPr>
        <xdr:spPr>
          <a:xfrm>
            <a:off x="5705327" y="3960302"/>
            <a:ext cx="803936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CA" sz="900">
              <a:solidFill>
                <a:srgbClr val="FF0000"/>
              </a:solidFill>
            </a:endParaRPr>
          </a:p>
        </xdr:txBody>
      </xdr:sp>
      <xdr:sp macro="" textlink="">
        <xdr:nvSpPr>
          <xdr:cNvPr id="5" name="TextBox 7">
            <a:extLst>
              <a:ext uri="{FF2B5EF4-FFF2-40B4-BE49-F238E27FC236}">
                <a16:creationId xmlns:a16="http://schemas.microsoft.com/office/drawing/2014/main" id="{A38216BF-2177-49BD-9207-5F888433BDF6}"/>
              </a:ext>
            </a:extLst>
          </xdr:cNvPr>
          <xdr:cNvSpPr txBox="1"/>
        </xdr:nvSpPr>
        <xdr:spPr>
          <a:xfrm>
            <a:off x="5631406" y="3592963"/>
            <a:ext cx="184731" cy="2308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endParaRPr lang="en-CA" sz="900">
              <a:solidFill>
                <a:srgbClr val="FF0000"/>
              </a:solidFill>
            </a:endParaRPr>
          </a:p>
        </xdr:txBody>
      </xdr:sp>
      <xdr:sp macro="" textlink="">
        <xdr:nvSpPr>
          <xdr:cNvPr id="6" name="TextBox 9">
            <a:extLst>
              <a:ext uri="{FF2B5EF4-FFF2-40B4-BE49-F238E27FC236}">
                <a16:creationId xmlns:a16="http://schemas.microsoft.com/office/drawing/2014/main" id="{60C8B3E2-80C1-4489-8C69-8653A772098F}"/>
              </a:ext>
            </a:extLst>
          </xdr:cNvPr>
          <xdr:cNvSpPr txBox="1"/>
        </xdr:nvSpPr>
        <xdr:spPr>
          <a:xfrm>
            <a:off x="7775559" y="3630571"/>
            <a:ext cx="415498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900" b="1"/>
              <a:t>5004</a:t>
            </a:r>
          </a:p>
          <a:p>
            <a:r>
              <a:rPr lang="en-US" sz="900" b="1"/>
              <a:t>5008</a:t>
            </a:r>
            <a:endParaRPr lang="en-CA" sz="900" b="1"/>
          </a:p>
        </xdr:txBody>
      </xdr:sp>
    </xdr:grpSp>
    <xdr:clientData/>
  </xdr:twoCellAnchor>
  <xdr:twoCellAnchor editAs="oneCell">
    <xdr:from>
      <xdr:col>10</xdr:col>
      <xdr:colOff>0</xdr:colOff>
      <xdr:row>16</xdr:row>
      <xdr:rowOff>0</xdr:rowOff>
    </xdr:from>
    <xdr:to>
      <xdr:col>19</xdr:col>
      <xdr:colOff>132648</xdr:colOff>
      <xdr:row>53</xdr:row>
      <xdr:rowOff>805498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599445E-C099-43BE-833C-3756EF3009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429500" y="3124200"/>
          <a:ext cx="5619048" cy="7619048"/>
        </a:xfrm>
        <a:prstGeom prst="rect">
          <a:avLst/>
        </a:prstGeom>
      </xdr:spPr>
    </xdr:pic>
    <xdr:clientData/>
  </xdr:twoCellAnchor>
  <xdr:oneCellAnchor>
    <xdr:from>
      <xdr:col>12</xdr:col>
      <xdr:colOff>527050</xdr:colOff>
      <xdr:row>25</xdr:row>
      <xdr:rowOff>63500</xdr:rowOff>
    </xdr:from>
    <xdr:ext cx="327654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7A938461-E912-4AAB-B6D8-7443E8D2F73A}"/>
            </a:ext>
          </a:extLst>
        </xdr:cNvPr>
        <xdr:cNvSpPr txBox="1"/>
      </xdr:nvSpPr>
      <xdr:spPr>
        <a:xfrm>
          <a:off x="9175750" y="484505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fr-CA" sz="1100">
              <a:solidFill>
                <a:srgbClr val="FF0000"/>
              </a:solidFill>
            </a:rPr>
            <a:t>37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jbarnes/Documents/DATA/chromite/komatiite/komatiite%20treat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ser kept (2)"/>
      <sheetName val="raw data"/>
      <sheetName val="norm to probe"/>
      <sheetName val="laser kept"/>
      <sheetName val="Sheet3"/>
      <sheetName val="chr-wr"/>
      <sheetName val="chr-model"/>
      <sheetName val="whole rock"/>
      <sheetName val="FMQ eq"/>
      <sheetName val="FMQ frac"/>
      <sheetName val="Sheet1"/>
      <sheetName val="FMQ-1 eq"/>
      <sheetName val="spinel cal"/>
      <sheetName val="all dec 22"/>
      <sheetName val="TOF Dec22"/>
    </sheetNames>
    <sheetDataSet>
      <sheetData sheetId="0" refreshError="1"/>
      <sheetData sheetId="1" refreshError="1"/>
      <sheetData sheetId="2">
        <row r="10">
          <cell r="CF10">
            <v>9.4127224192411028</v>
          </cell>
          <cell r="CG10">
            <v>11.902078713257074</v>
          </cell>
          <cell r="CH10">
            <v>0.25318692411608962</v>
          </cell>
          <cell r="CI10">
            <v>0.31828958120426903</v>
          </cell>
          <cell r="CK10">
            <v>41.521277992864675</v>
          </cell>
          <cell r="CL10">
            <v>0.17939212016209302</v>
          </cell>
          <cell r="CM10">
            <v>17.670000000000002</v>
          </cell>
          <cell r="CN10">
            <v>81.392781367849054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=@stdev(b140..b142)/B144*100" TargetMode="External"/><Relationship Id="rId2" Type="http://schemas.openxmlformats.org/officeDocument/2006/relationships/hyperlink" Target="mailto:=@stdev(b140..b142)/B144*100" TargetMode="External"/><Relationship Id="rId1" Type="http://schemas.openxmlformats.org/officeDocument/2006/relationships/hyperlink" Target="mailto:=@stdev(b140..b142)/B144*100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=@stdev(b140..b142)/B144*100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953EB-27CA-4137-BF60-9E3537172174}">
  <dimension ref="A1:J55"/>
  <sheetViews>
    <sheetView tabSelected="1" workbookViewId="0"/>
  </sheetViews>
  <sheetFormatPr defaultRowHeight="14.5" x14ac:dyDescent="0.35"/>
  <cols>
    <col min="2" max="3" width="13.36328125" bestFit="1" customWidth="1"/>
    <col min="4" max="4" width="12.36328125" bestFit="1" customWidth="1"/>
    <col min="5" max="5" width="14.90625" bestFit="1" customWidth="1"/>
  </cols>
  <sheetData>
    <row r="1" spans="1:6" ht="15.5" x14ac:dyDescent="0.35">
      <c r="A1" s="2" t="s">
        <v>451</v>
      </c>
      <c r="B1" s="2"/>
      <c r="C1" s="44" t="s">
        <v>445</v>
      </c>
      <c r="D1" s="2"/>
      <c r="E1" s="2"/>
      <c r="F1" s="2"/>
    </row>
    <row r="2" spans="1:6" ht="15.5" x14ac:dyDescent="0.35">
      <c r="A2" s="2" t="s">
        <v>20</v>
      </c>
      <c r="B2" s="2"/>
      <c r="C2" s="2"/>
      <c r="D2" s="2"/>
      <c r="E2" s="2"/>
      <c r="F2" s="2"/>
    </row>
    <row r="3" spans="1:6" ht="15.5" x14ac:dyDescent="0.35">
      <c r="A3" s="1" t="s">
        <v>3</v>
      </c>
      <c r="B3" s="1" t="s">
        <v>15</v>
      </c>
      <c r="C3" s="1" t="s">
        <v>16</v>
      </c>
      <c r="D3" s="1" t="s">
        <v>17</v>
      </c>
      <c r="E3" s="1" t="s">
        <v>18</v>
      </c>
      <c r="F3" s="2"/>
    </row>
    <row r="4" spans="1:6" ht="15.5" x14ac:dyDescent="0.35">
      <c r="A4" s="2" t="s">
        <v>4</v>
      </c>
      <c r="B4" s="2">
        <v>513735.4302</v>
      </c>
      <c r="C4" s="2">
        <v>5389269.7609999999</v>
      </c>
      <c r="D4" s="2" t="s">
        <v>0</v>
      </c>
      <c r="E4" s="2" t="s">
        <v>1</v>
      </c>
      <c r="F4" s="2"/>
    </row>
    <row r="5" spans="1:6" ht="15.5" x14ac:dyDescent="0.35">
      <c r="A5" s="2" t="s">
        <v>5</v>
      </c>
      <c r="B5" s="2">
        <v>513735.4302</v>
      </c>
      <c r="C5" s="2">
        <v>5389269.7609999999</v>
      </c>
      <c r="D5" s="2" t="s">
        <v>0</v>
      </c>
      <c r="E5" s="2" t="s">
        <v>1</v>
      </c>
      <c r="F5" s="2"/>
    </row>
    <row r="6" spans="1:6" ht="15.5" x14ac:dyDescent="0.35">
      <c r="A6" s="2" t="s">
        <v>6</v>
      </c>
      <c r="B6" s="2">
        <v>513735.4302</v>
      </c>
      <c r="C6" s="2">
        <v>5389269.7609999999</v>
      </c>
      <c r="D6" s="2" t="s">
        <v>0</v>
      </c>
      <c r="E6" s="2" t="s">
        <v>1</v>
      </c>
      <c r="F6" s="2"/>
    </row>
    <row r="7" spans="1:6" ht="15.5" x14ac:dyDescent="0.35">
      <c r="A7" s="2" t="s">
        <v>7</v>
      </c>
      <c r="B7" s="2">
        <v>513735.4302</v>
      </c>
      <c r="C7" s="2">
        <v>5389269.7609999999</v>
      </c>
      <c r="D7" s="2" t="s">
        <v>0</v>
      </c>
      <c r="E7" s="2" t="s">
        <v>1</v>
      </c>
      <c r="F7" s="2"/>
    </row>
    <row r="8" spans="1:6" ht="15.5" x14ac:dyDescent="0.35">
      <c r="A8" s="2" t="s">
        <v>8</v>
      </c>
      <c r="B8" s="2">
        <v>513711.28690000001</v>
      </c>
      <c r="C8" s="2">
        <v>5389283.6519999998</v>
      </c>
      <c r="D8" s="2" t="s">
        <v>372</v>
      </c>
      <c r="E8" s="2" t="s">
        <v>19</v>
      </c>
      <c r="F8" s="2"/>
    </row>
    <row r="9" spans="1:6" ht="15.5" x14ac:dyDescent="0.35">
      <c r="A9" s="2" t="s">
        <v>9</v>
      </c>
      <c r="B9" s="2">
        <v>513711.28690000001</v>
      </c>
      <c r="C9" s="2">
        <v>5389283.6519999998</v>
      </c>
      <c r="D9" s="2" t="s">
        <v>372</v>
      </c>
      <c r="E9" s="2" t="s">
        <v>373</v>
      </c>
      <c r="F9" s="2"/>
    </row>
    <row r="10" spans="1:6" ht="15.5" x14ac:dyDescent="0.35">
      <c r="A10" s="2" t="s">
        <v>10</v>
      </c>
      <c r="B10" s="2">
        <v>513735.4302</v>
      </c>
      <c r="C10" s="2">
        <v>5389269.7609999999</v>
      </c>
      <c r="D10" s="2" t="s">
        <v>0</v>
      </c>
      <c r="E10" s="2" t="s">
        <v>373</v>
      </c>
      <c r="F10" s="2"/>
    </row>
    <row r="11" spans="1:6" ht="15.5" x14ac:dyDescent="0.35">
      <c r="A11" s="2" t="s">
        <v>11</v>
      </c>
      <c r="B11" s="2">
        <v>513711.28690000001</v>
      </c>
      <c r="C11" s="2">
        <v>5389283.6519999998</v>
      </c>
      <c r="D11" s="2" t="s">
        <v>372</v>
      </c>
      <c r="E11" s="2" t="s">
        <v>2</v>
      </c>
      <c r="F11" s="2"/>
    </row>
    <row r="12" spans="1:6" ht="15.5" x14ac:dyDescent="0.35">
      <c r="A12" s="2" t="s">
        <v>12</v>
      </c>
      <c r="B12" s="2">
        <v>513711.28690000001</v>
      </c>
      <c r="C12" s="2">
        <v>5389283.6519999998</v>
      </c>
      <c r="D12" s="2" t="s">
        <v>372</v>
      </c>
      <c r="E12" s="2" t="s">
        <v>2</v>
      </c>
      <c r="F12" s="2"/>
    </row>
    <row r="13" spans="1:6" ht="15.5" x14ac:dyDescent="0.35">
      <c r="A13" s="2" t="s">
        <v>13</v>
      </c>
      <c r="B13" s="2">
        <v>513711.28690000001</v>
      </c>
      <c r="C13" s="2">
        <v>5389283.6519999998</v>
      </c>
      <c r="D13" s="2" t="s">
        <v>372</v>
      </c>
      <c r="E13" s="2" t="s">
        <v>2</v>
      </c>
      <c r="F13" s="2"/>
    </row>
    <row r="14" spans="1:6" ht="15.5" x14ac:dyDescent="0.35">
      <c r="A14" s="2" t="s">
        <v>14</v>
      </c>
      <c r="B14" s="2">
        <v>513711.28690000001</v>
      </c>
      <c r="C14" s="2">
        <v>5389283.6519999998</v>
      </c>
      <c r="D14" s="2" t="s">
        <v>372</v>
      </c>
      <c r="E14" s="2" t="s">
        <v>1</v>
      </c>
      <c r="F14" s="2"/>
    </row>
    <row r="54" spans="1:10" ht="90" customHeight="1" x14ac:dyDescent="0.35">
      <c r="A54" s="47" t="s">
        <v>448</v>
      </c>
      <c r="B54" s="47"/>
      <c r="C54" s="47"/>
      <c r="D54" s="47"/>
      <c r="E54" s="47"/>
      <c r="F54" s="47"/>
      <c r="G54" s="47"/>
      <c r="H54" s="47"/>
      <c r="I54" s="47"/>
      <c r="J54" s="47"/>
    </row>
    <row r="55" spans="1:10" ht="15.5" x14ac:dyDescent="0.35">
      <c r="A55" s="45"/>
    </row>
  </sheetData>
  <sortState ref="A4:E14">
    <sortCondition ref="A4"/>
  </sortState>
  <mergeCells count="1">
    <mergeCell ref="A54:J5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AA6B3-8DCC-43B6-9BBA-435B8EC6AC92}">
  <dimension ref="A1:BU37"/>
  <sheetViews>
    <sheetView workbookViewId="0">
      <pane xSplit="4" ySplit="7" topLeftCell="E8" activePane="bottomRight" state="frozen"/>
      <selection pane="topRight" activeCell="E1" sqref="E1"/>
      <selection pane="bottomLeft" activeCell="A6" sqref="A6"/>
      <selection pane="bottomRight" sqref="A1:R1"/>
    </sheetView>
  </sheetViews>
  <sheetFormatPr defaultRowHeight="14.5" x14ac:dyDescent="0.35"/>
  <cols>
    <col min="1" max="1" width="9.81640625" bestFit="1" customWidth="1"/>
    <col min="4" max="4" width="18.1796875" bestFit="1" customWidth="1"/>
  </cols>
  <sheetData>
    <row r="1" spans="1:73" ht="15.5" x14ac:dyDescent="0.35">
      <c r="A1" s="2" t="s">
        <v>451</v>
      </c>
      <c r="B1" s="2"/>
      <c r="D1" s="44" t="s">
        <v>445</v>
      </c>
      <c r="E1" s="2"/>
      <c r="F1" s="2"/>
    </row>
    <row r="2" spans="1:73" x14ac:dyDescent="0.35">
      <c r="A2" t="s">
        <v>374</v>
      </c>
      <c r="B2" t="s">
        <v>380</v>
      </c>
    </row>
    <row r="3" spans="1:73" x14ac:dyDescent="0.35">
      <c r="E3" t="s">
        <v>131</v>
      </c>
      <c r="BL3" t="s">
        <v>199</v>
      </c>
    </row>
    <row r="4" spans="1:73" x14ac:dyDescent="0.35">
      <c r="E4" t="s">
        <v>121</v>
      </c>
      <c r="F4" t="s">
        <v>122</v>
      </c>
      <c r="G4" t="s">
        <v>123</v>
      </c>
      <c r="H4" t="s">
        <v>124</v>
      </c>
      <c r="I4" t="s">
        <v>21</v>
      </c>
      <c r="J4" t="s">
        <v>22</v>
      </c>
      <c r="K4" t="s">
        <v>23</v>
      </c>
      <c r="L4" t="s">
        <v>125</v>
      </c>
      <c r="M4" t="s">
        <v>24</v>
      </c>
      <c r="N4" t="s">
        <v>126</v>
      </c>
      <c r="O4" t="s">
        <v>127</v>
      </c>
      <c r="P4" t="s">
        <v>27</v>
      </c>
      <c r="Q4" t="s">
        <v>26</v>
      </c>
      <c r="R4" t="s">
        <v>28</v>
      </c>
      <c r="S4" t="s">
        <v>29</v>
      </c>
      <c r="T4" t="s">
        <v>30</v>
      </c>
      <c r="U4" t="s">
        <v>31</v>
      </c>
      <c r="V4" t="s">
        <v>32</v>
      </c>
      <c r="W4" t="s">
        <v>33</v>
      </c>
      <c r="X4" t="s">
        <v>34</v>
      </c>
      <c r="Y4" t="s">
        <v>35</v>
      </c>
      <c r="Z4" t="s">
        <v>36</v>
      </c>
      <c r="AA4" t="s">
        <v>37</v>
      </c>
      <c r="AB4" t="s">
        <v>38</v>
      </c>
      <c r="AC4" t="s">
        <v>39</v>
      </c>
      <c r="AD4" t="s">
        <v>40</v>
      </c>
      <c r="AE4" t="s">
        <v>41</v>
      </c>
      <c r="AF4" t="s">
        <v>42</v>
      </c>
      <c r="AG4" t="s">
        <v>43</v>
      </c>
      <c r="AH4" t="s">
        <v>44</v>
      </c>
      <c r="AI4" t="s">
        <v>45</v>
      </c>
      <c r="AJ4" t="s">
        <v>46</v>
      </c>
      <c r="AK4" t="s">
        <v>47</v>
      </c>
      <c r="AL4" t="s">
        <v>48</v>
      </c>
      <c r="AM4" t="s">
        <v>49</v>
      </c>
      <c r="AN4" t="s">
        <v>50</v>
      </c>
      <c r="AO4" t="s">
        <v>51</v>
      </c>
      <c r="AP4" t="s">
        <v>52</v>
      </c>
      <c r="AQ4" t="s">
        <v>53</v>
      </c>
      <c r="AR4" t="s">
        <v>54</v>
      </c>
      <c r="AS4" t="s">
        <v>55</v>
      </c>
      <c r="AT4" t="s">
        <v>56</v>
      </c>
      <c r="AU4" t="s">
        <v>57</v>
      </c>
      <c r="AV4" t="s">
        <v>58</v>
      </c>
      <c r="AW4" t="s">
        <v>59</v>
      </c>
      <c r="AX4" t="s">
        <v>60</v>
      </c>
      <c r="AY4" t="s">
        <v>61</v>
      </c>
      <c r="AZ4" t="s">
        <v>62</v>
      </c>
      <c r="BA4" t="s">
        <v>63</v>
      </c>
      <c r="BB4" t="s">
        <v>64</v>
      </c>
      <c r="BC4" t="s">
        <v>65</v>
      </c>
      <c r="BD4" t="s">
        <v>66</v>
      </c>
      <c r="BE4" t="s">
        <v>67</v>
      </c>
      <c r="BF4" t="s">
        <v>68</v>
      </c>
      <c r="BG4" t="s">
        <v>69</v>
      </c>
      <c r="BH4" t="s">
        <v>70</v>
      </c>
      <c r="BI4" t="s">
        <v>71</v>
      </c>
      <c r="BJ4" t="s">
        <v>72</v>
      </c>
      <c r="BL4" t="s">
        <v>25</v>
      </c>
      <c r="BM4" t="s">
        <v>73</v>
      </c>
      <c r="BN4" t="s">
        <v>74</v>
      </c>
      <c r="BO4" t="s">
        <v>75</v>
      </c>
      <c r="BP4" t="s">
        <v>76</v>
      </c>
      <c r="BQ4" t="s">
        <v>77</v>
      </c>
      <c r="BR4" t="s">
        <v>78</v>
      </c>
      <c r="BS4" t="s">
        <v>79</v>
      </c>
      <c r="BT4" t="s">
        <v>80</v>
      </c>
    </row>
    <row r="5" spans="1:73" x14ac:dyDescent="0.35">
      <c r="D5" t="s">
        <v>142</v>
      </c>
      <c r="E5" t="s">
        <v>132</v>
      </c>
      <c r="F5" t="s">
        <v>132</v>
      </c>
      <c r="G5" t="s">
        <v>132</v>
      </c>
      <c r="H5" t="s">
        <v>132</v>
      </c>
      <c r="I5" t="s">
        <v>132</v>
      </c>
      <c r="J5" t="s">
        <v>132</v>
      </c>
      <c r="K5" t="s">
        <v>132</v>
      </c>
      <c r="L5" t="s">
        <v>132</v>
      </c>
      <c r="M5" t="s">
        <v>132</v>
      </c>
      <c r="N5" t="s">
        <v>132</v>
      </c>
      <c r="O5" t="s">
        <v>132</v>
      </c>
      <c r="P5" t="s">
        <v>132</v>
      </c>
      <c r="Q5" t="s">
        <v>132</v>
      </c>
      <c r="R5" t="s">
        <v>133</v>
      </c>
      <c r="S5" t="s">
        <v>133</v>
      </c>
      <c r="T5" t="s">
        <v>133</v>
      </c>
      <c r="U5" t="s">
        <v>133</v>
      </c>
      <c r="V5" t="s">
        <v>133</v>
      </c>
      <c r="W5" t="s">
        <v>133</v>
      </c>
      <c r="X5" t="s">
        <v>133</v>
      </c>
      <c r="Y5" t="s">
        <v>133</v>
      </c>
      <c r="Z5" t="s">
        <v>133</v>
      </c>
      <c r="AA5" t="s">
        <v>133</v>
      </c>
      <c r="AB5" t="s">
        <v>133</v>
      </c>
      <c r="AC5" t="s">
        <v>133</v>
      </c>
      <c r="AD5" t="s">
        <v>133</v>
      </c>
      <c r="AE5" t="s">
        <v>133</v>
      </c>
      <c r="AF5" t="s">
        <v>133</v>
      </c>
      <c r="AG5" t="s">
        <v>133</v>
      </c>
      <c r="AH5" t="s">
        <v>133</v>
      </c>
      <c r="AI5" t="s">
        <v>133</v>
      </c>
      <c r="AJ5" t="s">
        <v>133</v>
      </c>
      <c r="AK5" t="s">
        <v>133</v>
      </c>
      <c r="AL5" t="s">
        <v>133</v>
      </c>
      <c r="AM5" t="s">
        <v>133</v>
      </c>
      <c r="AN5" t="s">
        <v>133</v>
      </c>
      <c r="AO5" t="s">
        <v>133</v>
      </c>
      <c r="AP5" t="s">
        <v>133</v>
      </c>
      <c r="AQ5" t="s">
        <v>133</v>
      </c>
      <c r="AR5" t="s">
        <v>133</v>
      </c>
      <c r="AS5" t="s">
        <v>133</v>
      </c>
      <c r="AT5" t="s">
        <v>133</v>
      </c>
      <c r="AU5" t="s">
        <v>133</v>
      </c>
      <c r="AV5" t="s">
        <v>133</v>
      </c>
      <c r="AW5" t="s">
        <v>133</v>
      </c>
      <c r="AX5" t="s">
        <v>133</v>
      </c>
      <c r="AY5" t="s">
        <v>133</v>
      </c>
      <c r="AZ5" t="s">
        <v>133</v>
      </c>
      <c r="BA5" t="s">
        <v>133</v>
      </c>
      <c r="BB5" t="s">
        <v>133</v>
      </c>
      <c r="BC5" t="s">
        <v>133</v>
      </c>
      <c r="BD5" t="s">
        <v>133</v>
      </c>
      <c r="BE5" t="s">
        <v>133</v>
      </c>
      <c r="BF5" t="s">
        <v>133</v>
      </c>
      <c r="BG5" t="s">
        <v>133</v>
      </c>
      <c r="BH5" t="s">
        <v>133</v>
      </c>
      <c r="BI5" t="s">
        <v>133</v>
      </c>
      <c r="BJ5" t="s">
        <v>133</v>
      </c>
      <c r="BL5" t="s">
        <v>133</v>
      </c>
      <c r="BM5" t="s">
        <v>134</v>
      </c>
      <c r="BN5" t="s">
        <v>134</v>
      </c>
      <c r="BO5" t="s">
        <v>134</v>
      </c>
      <c r="BP5" t="s">
        <v>134</v>
      </c>
      <c r="BQ5" t="s">
        <v>134</v>
      </c>
      <c r="BR5" t="s">
        <v>134</v>
      </c>
      <c r="BS5" t="s">
        <v>134</v>
      </c>
    </row>
    <row r="6" spans="1:73" x14ac:dyDescent="0.35">
      <c r="D6" t="s">
        <v>135</v>
      </c>
      <c r="E6" t="s">
        <v>136</v>
      </c>
      <c r="F6" t="s">
        <v>136</v>
      </c>
      <c r="G6" t="s">
        <v>136</v>
      </c>
      <c r="H6" t="s">
        <v>136</v>
      </c>
      <c r="I6" t="s">
        <v>136</v>
      </c>
      <c r="J6" t="s">
        <v>136</v>
      </c>
      <c r="K6" t="s">
        <v>136</v>
      </c>
      <c r="L6" t="s">
        <v>136</v>
      </c>
      <c r="M6" t="s">
        <v>136</v>
      </c>
      <c r="N6" t="s">
        <v>136</v>
      </c>
      <c r="O6" t="s">
        <v>136</v>
      </c>
      <c r="R6" t="s">
        <v>138</v>
      </c>
      <c r="S6" t="s">
        <v>138</v>
      </c>
      <c r="T6" t="s">
        <v>138</v>
      </c>
      <c r="U6" t="s">
        <v>138</v>
      </c>
      <c r="V6" t="s">
        <v>138</v>
      </c>
      <c r="W6" t="s">
        <v>138</v>
      </c>
      <c r="X6" t="s">
        <v>138</v>
      </c>
      <c r="Y6" t="s">
        <v>138</v>
      </c>
      <c r="Z6" t="s">
        <v>138</v>
      </c>
      <c r="AA6" t="s">
        <v>138</v>
      </c>
      <c r="AB6" t="s">
        <v>138</v>
      </c>
      <c r="AC6" t="s">
        <v>138</v>
      </c>
      <c r="AD6" t="s">
        <v>138</v>
      </c>
      <c r="AE6" t="s">
        <v>138</v>
      </c>
      <c r="AF6" t="s">
        <v>138</v>
      </c>
      <c r="AG6" t="s">
        <v>138</v>
      </c>
      <c r="AH6" t="s">
        <v>138</v>
      </c>
      <c r="AI6" t="s">
        <v>138</v>
      </c>
      <c r="AJ6" t="s">
        <v>138</v>
      </c>
      <c r="AK6" t="s">
        <v>138</v>
      </c>
      <c r="AL6" t="s">
        <v>138</v>
      </c>
      <c r="AM6" t="s">
        <v>138</v>
      </c>
      <c r="AN6" t="s">
        <v>138</v>
      </c>
      <c r="AO6" t="s">
        <v>138</v>
      </c>
      <c r="AP6" t="s">
        <v>138</v>
      </c>
      <c r="AQ6" t="s">
        <v>138</v>
      </c>
      <c r="AR6" t="s">
        <v>138</v>
      </c>
      <c r="AS6" t="s">
        <v>138</v>
      </c>
      <c r="AT6" t="s">
        <v>138</v>
      </c>
      <c r="AU6" t="s">
        <v>138</v>
      </c>
      <c r="AV6" t="s">
        <v>138</v>
      </c>
      <c r="AW6" t="s">
        <v>138</v>
      </c>
      <c r="AX6" t="s">
        <v>138</v>
      </c>
      <c r="AY6" t="s">
        <v>138</v>
      </c>
      <c r="AZ6" t="s">
        <v>138</v>
      </c>
      <c r="BA6" t="s">
        <v>138</v>
      </c>
      <c r="BB6" t="s">
        <v>138</v>
      </c>
      <c r="BC6" t="s">
        <v>138</v>
      </c>
      <c r="BD6" t="s">
        <v>138</v>
      </c>
      <c r="BE6" t="s">
        <v>138</v>
      </c>
      <c r="BF6" t="s">
        <v>138</v>
      </c>
      <c r="BG6" t="s">
        <v>138</v>
      </c>
      <c r="BH6" t="s">
        <v>138</v>
      </c>
      <c r="BI6" t="s">
        <v>138</v>
      </c>
      <c r="BJ6" t="s">
        <v>138</v>
      </c>
      <c r="BL6" t="s">
        <v>139</v>
      </c>
      <c r="BM6" t="s">
        <v>140</v>
      </c>
      <c r="BN6" t="s">
        <v>140</v>
      </c>
      <c r="BO6" t="s">
        <v>140</v>
      </c>
      <c r="BP6" t="s">
        <v>140</v>
      </c>
      <c r="BQ6" t="s">
        <v>140</v>
      </c>
      <c r="BR6" t="s">
        <v>140</v>
      </c>
      <c r="BS6" t="s">
        <v>140</v>
      </c>
    </row>
    <row r="7" spans="1:73" x14ac:dyDescent="0.35">
      <c r="A7" t="s">
        <v>3</v>
      </c>
      <c r="B7" t="s">
        <v>118</v>
      </c>
      <c r="C7" t="s">
        <v>119</v>
      </c>
      <c r="D7" t="s">
        <v>120</v>
      </c>
    </row>
    <row r="8" spans="1:73" x14ac:dyDescent="0.35">
      <c r="A8" t="s">
        <v>86</v>
      </c>
      <c r="B8" t="s">
        <v>111</v>
      </c>
      <c r="C8" t="s">
        <v>112</v>
      </c>
      <c r="D8" t="s">
        <v>128</v>
      </c>
      <c r="E8" s="3">
        <v>46.09</v>
      </c>
      <c r="F8" s="3">
        <v>0.42</v>
      </c>
      <c r="G8" s="3">
        <v>8.7200000000000006</v>
      </c>
      <c r="H8" s="3">
        <v>11.58</v>
      </c>
      <c r="I8" s="3">
        <v>0.22</v>
      </c>
      <c r="J8" s="3">
        <v>22.95</v>
      </c>
      <c r="K8" s="3">
        <v>8.1199999999999992</v>
      </c>
      <c r="L8" s="3">
        <v>0.03</v>
      </c>
      <c r="M8" s="3">
        <v>0.06</v>
      </c>
      <c r="N8" s="3">
        <v>0.02</v>
      </c>
      <c r="O8" s="3">
        <v>0.47965116299999999</v>
      </c>
      <c r="P8" s="3">
        <f>SUM(E8:O8)</f>
        <v>98.689651163000008</v>
      </c>
      <c r="Q8" s="3">
        <v>5.45</v>
      </c>
      <c r="R8" s="3">
        <v>16.100000000000001</v>
      </c>
      <c r="S8" s="3">
        <v>0.13</v>
      </c>
      <c r="T8" s="3" t="s">
        <v>84</v>
      </c>
      <c r="U8" s="3">
        <v>0.06</v>
      </c>
      <c r="V8" s="3">
        <v>2.61</v>
      </c>
      <c r="W8" s="3">
        <v>92.59</v>
      </c>
      <c r="X8" s="3">
        <v>3300</v>
      </c>
      <c r="Y8" s="3">
        <v>0.86</v>
      </c>
      <c r="Z8" s="3">
        <v>40.4</v>
      </c>
      <c r="AA8" s="3">
        <v>1.83</v>
      </c>
      <c r="AB8" s="3">
        <v>1.17</v>
      </c>
      <c r="AC8" s="3">
        <v>0.37</v>
      </c>
      <c r="AD8" s="3">
        <v>8.7799999999999994</v>
      </c>
      <c r="AE8" s="3">
        <v>1.41</v>
      </c>
      <c r="AF8" s="3">
        <v>0.68</v>
      </c>
      <c r="AG8" s="3">
        <v>0.4</v>
      </c>
      <c r="AH8" s="3">
        <v>0.03</v>
      </c>
      <c r="AI8" s="3">
        <v>0.98</v>
      </c>
      <c r="AJ8" s="3">
        <v>8.9</v>
      </c>
      <c r="AK8" s="3">
        <v>0.18</v>
      </c>
      <c r="AL8" s="3">
        <v>0.43</v>
      </c>
      <c r="AM8" s="3">
        <v>0.66</v>
      </c>
      <c r="AN8" s="3">
        <v>2.4900000000000002</v>
      </c>
      <c r="AO8" s="3">
        <v>886</v>
      </c>
      <c r="AP8" s="3" t="s">
        <v>87</v>
      </c>
      <c r="AQ8" s="3">
        <v>0.42</v>
      </c>
      <c r="AR8" s="3">
        <v>4.57</v>
      </c>
      <c r="AS8" s="3">
        <v>0.05</v>
      </c>
      <c r="AT8" s="3">
        <v>38.799999999999997</v>
      </c>
      <c r="AU8" s="3">
        <v>0.96</v>
      </c>
      <c r="AV8" s="3">
        <v>0.31</v>
      </c>
      <c r="AW8" s="3">
        <v>23.2</v>
      </c>
      <c r="AX8" s="3">
        <v>0.04</v>
      </c>
      <c r="AY8" s="3">
        <v>0.26</v>
      </c>
      <c r="AZ8" s="3">
        <v>0.08</v>
      </c>
      <c r="BA8" s="3">
        <v>2796</v>
      </c>
      <c r="BB8" s="3">
        <v>0.09</v>
      </c>
      <c r="BC8" s="3">
        <v>0.17</v>
      </c>
      <c r="BD8" s="3">
        <v>0.05</v>
      </c>
      <c r="BE8" s="3">
        <v>199.7</v>
      </c>
      <c r="BF8" s="3">
        <v>0.13</v>
      </c>
      <c r="BG8" s="3">
        <v>10.26</v>
      </c>
      <c r="BH8" s="3">
        <v>1.1200000000000001</v>
      </c>
      <c r="BI8" s="3">
        <v>79</v>
      </c>
      <c r="BJ8" s="3">
        <v>23</v>
      </c>
      <c r="BK8" s="3"/>
      <c r="BL8" s="3">
        <v>200</v>
      </c>
      <c r="BM8" s="3">
        <v>3.91</v>
      </c>
      <c r="BN8" s="3">
        <v>1.29</v>
      </c>
      <c r="BO8" s="3">
        <v>10.75</v>
      </c>
      <c r="BP8" s="3" t="s">
        <v>83</v>
      </c>
      <c r="BQ8" s="3">
        <v>1.51</v>
      </c>
      <c r="BR8" s="3">
        <v>10.66</v>
      </c>
      <c r="BS8" s="3">
        <v>0.48</v>
      </c>
      <c r="BT8" s="3">
        <v>0.78067313900000002</v>
      </c>
      <c r="BU8" s="3"/>
    </row>
    <row r="9" spans="1:73" x14ac:dyDescent="0.35">
      <c r="A9" t="s">
        <v>88</v>
      </c>
      <c r="B9" t="s">
        <v>111</v>
      </c>
      <c r="C9" t="s">
        <v>113</v>
      </c>
      <c r="D9" t="s">
        <v>128</v>
      </c>
      <c r="E9" s="3">
        <v>45.3</v>
      </c>
      <c r="F9" s="3">
        <v>0.3</v>
      </c>
      <c r="G9" s="3">
        <v>6.44</v>
      </c>
      <c r="H9" s="3">
        <v>10.29</v>
      </c>
      <c r="I9" s="3">
        <v>0.17</v>
      </c>
      <c r="J9" s="3">
        <v>29.22</v>
      </c>
      <c r="K9" s="3">
        <v>6.6</v>
      </c>
      <c r="L9" s="3" t="s">
        <v>81</v>
      </c>
      <c r="M9" s="3">
        <v>0.04</v>
      </c>
      <c r="N9" s="3">
        <v>0.02</v>
      </c>
      <c r="O9" s="3">
        <v>0.44</v>
      </c>
      <c r="P9" s="3">
        <f t="shared" ref="P9:P37" si="0">SUM(E9:O9)</f>
        <v>98.82</v>
      </c>
      <c r="Q9" s="3">
        <v>8.32</v>
      </c>
      <c r="R9" s="3">
        <v>4.7</v>
      </c>
      <c r="S9" s="3">
        <v>0.11</v>
      </c>
      <c r="T9" s="3" t="s">
        <v>84</v>
      </c>
      <c r="U9" s="3">
        <v>0.05</v>
      </c>
      <c r="V9" s="3">
        <v>1.92</v>
      </c>
      <c r="W9" s="3">
        <v>109.94</v>
      </c>
      <c r="X9" s="3">
        <v>3033</v>
      </c>
      <c r="Y9" s="3">
        <v>0.61</v>
      </c>
      <c r="Z9" s="3">
        <v>56.7</v>
      </c>
      <c r="AA9" s="3">
        <v>1.25</v>
      </c>
      <c r="AB9" s="3">
        <v>0.82</v>
      </c>
      <c r="AC9" s="3">
        <v>0.27</v>
      </c>
      <c r="AD9" s="3">
        <v>6.71</v>
      </c>
      <c r="AE9" s="3">
        <v>1.01</v>
      </c>
      <c r="AF9" s="3">
        <v>0.51</v>
      </c>
      <c r="AG9" s="3">
        <v>0.27</v>
      </c>
      <c r="AH9" s="3">
        <v>0.02</v>
      </c>
      <c r="AI9" s="3">
        <v>0.74</v>
      </c>
      <c r="AJ9" s="3">
        <v>7.3</v>
      </c>
      <c r="AK9" s="3">
        <v>0.12</v>
      </c>
      <c r="AL9" s="3">
        <v>0.52</v>
      </c>
      <c r="AM9" s="3">
        <v>0.47</v>
      </c>
      <c r="AN9" s="3">
        <v>1.71</v>
      </c>
      <c r="AO9" s="3">
        <v>1590.2</v>
      </c>
      <c r="AP9" s="3" t="s">
        <v>87</v>
      </c>
      <c r="AQ9" s="3">
        <v>0.32</v>
      </c>
      <c r="AR9" s="3">
        <v>3.16</v>
      </c>
      <c r="AS9" s="3">
        <v>0.04</v>
      </c>
      <c r="AT9" s="3">
        <v>28.5</v>
      </c>
      <c r="AU9" s="3">
        <v>0.69</v>
      </c>
      <c r="AV9" s="3">
        <v>0.39</v>
      </c>
      <c r="AW9" s="3">
        <v>9.8000000000000007</v>
      </c>
      <c r="AX9" s="3">
        <v>0.03</v>
      </c>
      <c r="AY9" s="3">
        <v>0.19</v>
      </c>
      <c r="AZ9" s="3">
        <v>7.0000000000000007E-2</v>
      </c>
      <c r="BA9" s="3">
        <v>2016</v>
      </c>
      <c r="BB9" s="3">
        <v>0.14000000000000001</v>
      </c>
      <c r="BC9" s="3">
        <v>0.12</v>
      </c>
      <c r="BD9" s="3">
        <v>0.05</v>
      </c>
      <c r="BE9" s="3">
        <v>151.1</v>
      </c>
      <c r="BF9" s="3">
        <v>0.2</v>
      </c>
      <c r="BG9" s="3">
        <v>7.25</v>
      </c>
      <c r="BH9" s="3">
        <v>0.78</v>
      </c>
      <c r="BI9" s="3">
        <v>61</v>
      </c>
      <c r="BJ9" s="3">
        <v>18</v>
      </c>
      <c r="BK9" s="3"/>
      <c r="BL9" s="3">
        <v>500</v>
      </c>
      <c r="BM9" s="3">
        <v>4.08</v>
      </c>
      <c r="BN9" s="3">
        <v>1.1499999999999999</v>
      </c>
      <c r="BO9" s="3">
        <v>6.73</v>
      </c>
      <c r="BP9" s="3" t="s">
        <v>83</v>
      </c>
      <c r="BQ9" s="3">
        <v>1.42</v>
      </c>
      <c r="BR9" s="3">
        <v>8.43</v>
      </c>
      <c r="BS9" s="3">
        <v>0.48</v>
      </c>
      <c r="BT9" s="3">
        <v>0.83608121099999999</v>
      </c>
      <c r="BU9" s="3"/>
    </row>
    <row r="10" spans="1:73" x14ac:dyDescent="0.35">
      <c r="A10" t="s">
        <v>89</v>
      </c>
      <c r="B10" t="s">
        <v>111</v>
      </c>
      <c r="C10" t="s">
        <v>113</v>
      </c>
      <c r="D10" t="s">
        <v>128</v>
      </c>
      <c r="E10" s="3">
        <v>45.2</v>
      </c>
      <c r="F10" s="3">
        <v>0.3</v>
      </c>
      <c r="G10" s="3">
        <v>6.09</v>
      </c>
      <c r="H10" s="3">
        <v>10</v>
      </c>
      <c r="I10" s="3">
        <v>0.18</v>
      </c>
      <c r="J10" s="3">
        <v>31</v>
      </c>
      <c r="K10" s="3">
        <v>5.55</v>
      </c>
      <c r="L10" s="3">
        <v>0.1</v>
      </c>
      <c r="M10" s="3">
        <v>7.0000000000000007E-2</v>
      </c>
      <c r="N10" s="3">
        <v>0.02</v>
      </c>
      <c r="O10" s="3">
        <v>0.42</v>
      </c>
      <c r="P10" s="3">
        <f t="shared" si="0"/>
        <v>98.929999999999993</v>
      </c>
      <c r="Q10" s="3">
        <v>7.97</v>
      </c>
      <c r="R10" s="3">
        <v>11.2</v>
      </c>
      <c r="S10" s="3">
        <v>0.1</v>
      </c>
      <c r="T10" s="3" t="s">
        <v>84</v>
      </c>
      <c r="U10" s="3">
        <v>0.05</v>
      </c>
      <c r="V10" s="3">
        <v>1.81</v>
      </c>
      <c r="W10" s="3">
        <v>106.97</v>
      </c>
      <c r="X10" s="3">
        <v>2908</v>
      </c>
      <c r="Y10" s="3">
        <v>0.61</v>
      </c>
      <c r="Z10" s="3">
        <v>47.7</v>
      </c>
      <c r="AA10" s="3">
        <v>1.19</v>
      </c>
      <c r="AB10" s="3">
        <v>0.79</v>
      </c>
      <c r="AC10" s="3">
        <v>0.25</v>
      </c>
      <c r="AD10" s="3">
        <v>6.27</v>
      </c>
      <c r="AE10" s="3">
        <v>0.94</v>
      </c>
      <c r="AF10" s="3">
        <v>0.46</v>
      </c>
      <c r="AG10" s="3">
        <v>0.26</v>
      </c>
      <c r="AH10" s="3">
        <v>0.02</v>
      </c>
      <c r="AI10" s="3">
        <v>0.65</v>
      </c>
      <c r="AJ10" s="3">
        <v>3.4</v>
      </c>
      <c r="AK10" s="3">
        <v>0.11</v>
      </c>
      <c r="AL10" s="3">
        <v>0.38</v>
      </c>
      <c r="AM10" s="3">
        <v>0.48</v>
      </c>
      <c r="AN10" s="3">
        <v>1.67</v>
      </c>
      <c r="AO10" s="3">
        <v>1707.9</v>
      </c>
      <c r="AP10" s="3" t="s">
        <v>87</v>
      </c>
      <c r="AQ10" s="3">
        <v>0.3</v>
      </c>
      <c r="AR10" s="3">
        <v>4.22</v>
      </c>
      <c r="AS10" s="3">
        <v>0.04</v>
      </c>
      <c r="AT10" s="3">
        <v>26.7</v>
      </c>
      <c r="AU10" s="3">
        <v>0.65</v>
      </c>
      <c r="AV10" s="3">
        <v>0.22</v>
      </c>
      <c r="AW10" s="3">
        <v>26.7</v>
      </c>
      <c r="AX10" s="3">
        <v>0.03</v>
      </c>
      <c r="AY10" s="3">
        <v>0.17</v>
      </c>
      <c r="AZ10" s="3">
        <v>0.05</v>
      </c>
      <c r="BA10" s="3">
        <v>1892</v>
      </c>
      <c r="BB10" s="3">
        <v>0.12</v>
      </c>
      <c r="BC10" s="3">
        <v>0.11</v>
      </c>
      <c r="BD10" s="3">
        <v>0.06</v>
      </c>
      <c r="BE10" s="3">
        <v>143.6</v>
      </c>
      <c r="BF10" s="3">
        <v>0.18</v>
      </c>
      <c r="BG10" s="3">
        <v>6.81</v>
      </c>
      <c r="BH10" s="3">
        <v>0.73</v>
      </c>
      <c r="BI10" s="3">
        <v>60</v>
      </c>
      <c r="BJ10" s="3">
        <v>15</v>
      </c>
      <c r="BK10" s="3"/>
      <c r="BL10" s="3">
        <v>500</v>
      </c>
      <c r="BM10" s="3">
        <v>4.75</v>
      </c>
      <c r="BN10" s="3">
        <v>1.38</v>
      </c>
      <c r="BO10" s="3">
        <v>9.43</v>
      </c>
      <c r="BP10" s="3" t="s">
        <v>83</v>
      </c>
      <c r="BQ10" s="3">
        <v>1.63</v>
      </c>
      <c r="BR10" s="3">
        <v>8.99</v>
      </c>
      <c r="BS10" s="3">
        <v>0.48</v>
      </c>
      <c r="BT10" s="3">
        <v>0.84781579200000001</v>
      </c>
      <c r="BU10" s="3"/>
    </row>
    <row r="11" spans="1:73" x14ac:dyDescent="0.35">
      <c r="A11" t="s">
        <v>90</v>
      </c>
      <c r="B11" t="s">
        <v>111</v>
      </c>
      <c r="C11" t="s">
        <v>114</v>
      </c>
      <c r="D11" t="s">
        <v>129</v>
      </c>
      <c r="E11" s="3">
        <v>44.16</v>
      </c>
      <c r="F11" s="3">
        <v>0.32</v>
      </c>
      <c r="G11" s="3">
        <v>6.66</v>
      </c>
      <c r="H11" s="3">
        <v>10.85</v>
      </c>
      <c r="I11" s="3">
        <v>0.2</v>
      </c>
      <c r="J11" s="3">
        <v>30.02</v>
      </c>
      <c r="K11" s="3">
        <v>6.13</v>
      </c>
      <c r="L11" s="3" t="s">
        <v>81</v>
      </c>
      <c r="M11" s="3">
        <v>0.02</v>
      </c>
      <c r="N11" s="3">
        <v>0.02</v>
      </c>
      <c r="O11" s="3">
        <v>0.45</v>
      </c>
      <c r="P11" s="3">
        <f t="shared" si="0"/>
        <v>98.83</v>
      </c>
      <c r="Q11" s="3">
        <v>11.19</v>
      </c>
      <c r="R11" s="3">
        <v>3.3</v>
      </c>
      <c r="S11" s="3">
        <v>0.09</v>
      </c>
      <c r="T11" s="3" t="s">
        <v>84</v>
      </c>
      <c r="U11" s="3">
        <v>0.12</v>
      </c>
      <c r="V11" s="3">
        <v>1.38</v>
      </c>
      <c r="W11" s="3">
        <v>106.67</v>
      </c>
      <c r="X11" s="3">
        <v>3118</v>
      </c>
      <c r="Y11" s="3">
        <v>1.93</v>
      </c>
      <c r="Z11" s="3">
        <v>44.4</v>
      </c>
      <c r="AA11" s="3">
        <v>1.2</v>
      </c>
      <c r="AB11" s="3">
        <v>0.8</v>
      </c>
      <c r="AC11" s="3">
        <v>0.2</v>
      </c>
      <c r="AD11" s="3">
        <v>6.51</v>
      </c>
      <c r="AE11" s="3">
        <v>0.9</v>
      </c>
      <c r="AF11" s="3">
        <v>0.42</v>
      </c>
      <c r="AG11" s="3">
        <v>0.26</v>
      </c>
      <c r="AH11" s="3">
        <v>0.03</v>
      </c>
      <c r="AI11" s="3">
        <v>0.47</v>
      </c>
      <c r="AJ11" s="3">
        <v>20.9</v>
      </c>
      <c r="AK11" s="3">
        <v>0.11</v>
      </c>
      <c r="AL11" s="3">
        <v>0.16</v>
      </c>
      <c r="AM11" s="3">
        <v>0.33</v>
      </c>
      <c r="AN11" s="3">
        <v>1.44</v>
      </c>
      <c r="AO11" s="3">
        <v>1528.7</v>
      </c>
      <c r="AP11" s="3" t="s">
        <v>87</v>
      </c>
      <c r="AQ11" s="3">
        <v>0.24</v>
      </c>
      <c r="AR11" s="3">
        <v>3.11</v>
      </c>
      <c r="AS11" s="3" t="s">
        <v>85</v>
      </c>
      <c r="AT11" s="3">
        <v>27.5</v>
      </c>
      <c r="AU11" s="3">
        <v>0.6</v>
      </c>
      <c r="AV11" s="3">
        <v>0.17</v>
      </c>
      <c r="AW11" s="3">
        <v>27.9</v>
      </c>
      <c r="AX11" s="3" t="s">
        <v>82</v>
      </c>
      <c r="AY11" s="3">
        <v>0.17</v>
      </c>
      <c r="AZ11" s="3">
        <v>0.03</v>
      </c>
      <c r="BA11" s="3">
        <v>1866</v>
      </c>
      <c r="BB11" s="3">
        <v>0.05</v>
      </c>
      <c r="BC11" s="3">
        <v>0.12</v>
      </c>
      <c r="BD11" s="3">
        <v>0.03</v>
      </c>
      <c r="BE11" s="3">
        <v>147.1</v>
      </c>
      <c r="BF11" s="3">
        <v>0.1</v>
      </c>
      <c r="BG11" s="3">
        <v>6.83</v>
      </c>
      <c r="BH11" s="3">
        <v>0.76</v>
      </c>
      <c r="BI11" s="3">
        <v>66</v>
      </c>
      <c r="BJ11" s="3">
        <v>14</v>
      </c>
      <c r="BK11" s="3"/>
      <c r="BL11" s="3">
        <v>700.00000000000011</v>
      </c>
      <c r="BM11" s="3">
        <v>4.8</v>
      </c>
      <c r="BN11" s="3">
        <v>1.38</v>
      </c>
      <c r="BO11" s="3">
        <v>8.86</v>
      </c>
      <c r="BP11" s="3">
        <v>0.63</v>
      </c>
      <c r="BQ11" s="3">
        <v>2.4900000000000002</v>
      </c>
      <c r="BR11" s="3">
        <v>9.83</v>
      </c>
      <c r="BS11" s="3">
        <v>1.25</v>
      </c>
      <c r="BT11" s="3">
        <v>0.83242115400000005</v>
      </c>
      <c r="BU11" s="3"/>
    </row>
    <row r="12" spans="1:73" x14ac:dyDescent="0.35">
      <c r="A12" t="s">
        <v>91</v>
      </c>
      <c r="B12" t="s">
        <v>111</v>
      </c>
      <c r="C12" t="s">
        <v>113</v>
      </c>
      <c r="D12" t="s">
        <v>128</v>
      </c>
      <c r="E12" s="3">
        <v>44.6</v>
      </c>
      <c r="F12" s="3">
        <v>0.28000000000000003</v>
      </c>
      <c r="G12" s="3">
        <v>5.84</v>
      </c>
      <c r="H12" s="3">
        <v>8.81</v>
      </c>
      <c r="I12" s="3">
        <v>0.19</v>
      </c>
      <c r="J12" s="3">
        <v>30.19</v>
      </c>
      <c r="K12" s="3">
        <v>8.74</v>
      </c>
      <c r="L12" s="3" t="s">
        <v>81</v>
      </c>
      <c r="M12" s="3" t="s">
        <v>81</v>
      </c>
      <c r="N12" s="3">
        <v>0.01</v>
      </c>
      <c r="O12" s="3">
        <v>0.36</v>
      </c>
      <c r="P12" s="3">
        <f t="shared" si="0"/>
        <v>99.02</v>
      </c>
      <c r="Q12" s="3">
        <v>8.17</v>
      </c>
      <c r="R12" s="3">
        <v>2.4</v>
      </c>
      <c r="S12" s="3">
        <v>0.11</v>
      </c>
      <c r="T12" s="3" t="s">
        <v>84</v>
      </c>
      <c r="U12" s="3">
        <v>0.03</v>
      </c>
      <c r="V12" s="3">
        <v>1.82</v>
      </c>
      <c r="W12" s="3">
        <v>99.97</v>
      </c>
      <c r="X12" s="3">
        <v>2498</v>
      </c>
      <c r="Y12" s="3">
        <v>0.17</v>
      </c>
      <c r="Z12" s="3">
        <v>17</v>
      </c>
      <c r="AA12" s="3">
        <v>1.17</v>
      </c>
      <c r="AB12" s="3">
        <v>0.75</v>
      </c>
      <c r="AC12" s="3">
        <v>0.23</v>
      </c>
      <c r="AD12" s="3">
        <v>5.98</v>
      </c>
      <c r="AE12" s="3">
        <v>0.91</v>
      </c>
      <c r="AF12" s="3">
        <v>0.47</v>
      </c>
      <c r="AG12" s="3">
        <v>0.25</v>
      </c>
      <c r="AH12" s="3">
        <v>0.02</v>
      </c>
      <c r="AI12" s="3">
        <v>0.7</v>
      </c>
      <c r="AJ12" s="3">
        <v>3.4</v>
      </c>
      <c r="AK12" s="3">
        <v>0.11</v>
      </c>
      <c r="AL12" s="3">
        <v>0.3</v>
      </c>
      <c r="AM12" s="3">
        <v>0.44</v>
      </c>
      <c r="AN12" s="3">
        <v>1.67</v>
      </c>
      <c r="AO12" s="3">
        <v>1826.7</v>
      </c>
      <c r="AP12" s="3" t="s">
        <v>87</v>
      </c>
      <c r="AQ12" s="3">
        <v>0.3</v>
      </c>
      <c r="AR12" s="3">
        <v>0.62</v>
      </c>
      <c r="AS12" s="3" t="s">
        <v>85</v>
      </c>
      <c r="AT12" s="3">
        <v>24.4</v>
      </c>
      <c r="AU12" s="3">
        <v>0.64</v>
      </c>
      <c r="AV12" s="3">
        <v>0.18</v>
      </c>
      <c r="AW12" s="3">
        <v>3.5</v>
      </c>
      <c r="AX12" s="3">
        <v>0.03</v>
      </c>
      <c r="AY12" s="3">
        <v>0.17</v>
      </c>
      <c r="AZ12" s="3">
        <v>0.06</v>
      </c>
      <c r="BA12" s="3">
        <v>1802</v>
      </c>
      <c r="BB12" s="3">
        <v>0.01</v>
      </c>
      <c r="BC12" s="3">
        <v>0.11</v>
      </c>
      <c r="BD12" s="3">
        <v>0.05</v>
      </c>
      <c r="BE12" s="3">
        <v>128.30000000000001</v>
      </c>
      <c r="BF12" s="3">
        <v>0.16</v>
      </c>
      <c r="BG12" s="3">
        <v>6.54</v>
      </c>
      <c r="BH12" s="3">
        <v>0.72</v>
      </c>
      <c r="BI12" s="3">
        <v>58</v>
      </c>
      <c r="BJ12" s="3">
        <v>16</v>
      </c>
      <c r="BK12" s="3"/>
      <c r="BL12" s="3">
        <v>400</v>
      </c>
      <c r="BM12" s="3">
        <v>5.6</v>
      </c>
      <c r="BN12" s="3">
        <v>1.67</v>
      </c>
      <c r="BO12" s="3">
        <v>10.88</v>
      </c>
      <c r="BP12" s="3" t="s">
        <v>83</v>
      </c>
      <c r="BQ12" s="3">
        <v>1.98</v>
      </c>
      <c r="BR12" s="3">
        <v>13.44</v>
      </c>
      <c r="BS12" s="3">
        <v>1.46</v>
      </c>
      <c r="BT12" s="3">
        <v>0.860218857</v>
      </c>
      <c r="BU12" s="3"/>
    </row>
    <row r="13" spans="1:73" x14ac:dyDescent="0.35">
      <c r="A13" t="s">
        <v>92</v>
      </c>
      <c r="B13" t="s">
        <v>111</v>
      </c>
      <c r="C13" t="s">
        <v>113</v>
      </c>
      <c r="D13" t="s">
        <v>128</v>
      </c>
      <c r="E13" s="3">
        <v>44.9</v>
      </c>
      <c r="F13" s="3">
        <v>0.28000000000000003</v>
      </c>
      <c r="G13" s="3">
        <v>6.17</v>
      </c>
      <c r="H13" s="3">
        <v>10.210000000000001</v>
      </c>
      <c r="I13" s="3">
        <v>0.19</v>
      </c>
      <c r="J13" s="3">
        <v>30.7</v>
      </c>
      <c r="K13" s="3">
        <v>5.87</v>
      </c>
      <c r="L13" s="3">
        <v>0.05</v>
      </c>
      <c r="M13" s="3">
        <v>0.08</v>
      </c>
      <c r="N13" s="3">
        <v>0.01</v>
      </c>
      <c r="O13" s="3">
        <v>0.42</v>
      </c>
      <c r="P13" s="3">
        <f t="shared" si="0"/>
        <v>98.88000000000001</v>
      </c>
      <c r="Q13" s="3">
        <v>6.78</v>
      </c>
      <c r="R13" s="3">
        <v>2.5</v>
      </c>
      <c r="S13" s="3">
        <v>0.1</v>
      </c>
      <c r="T13" s="3" t="s">
        <v>84</v>
      </c>
      <c r="U13" s="3">
        <v>0.04</v>
      </c>
      <c r="V13" s="3">
        <v>1.82</v>
      </c>
      <c r="W13" s="3">
        <v>100.76</v>
      </c>
      <c r="X13" s="3">
        <v>2877</v>
      </c>
      <c r="Y13" s="3">
        <v>0.17</v>
      </c>
      <c r="Z13" s="3">
        <v>16.7</v>
      </c>
      <c r="AA13" s="3">
        <v>1.1499999999999999</v>
      </c>
      <c r="AB13" s="3">
        <v>0.73</v>
      </c>
      <c r="AC13" s="3">
        <v>0.22</v>
      </c>
      <c r="AD13" s="3">
        <v>5.95</v>
      </c>
      <c r="AE13" s="3">
        <v>0.89</v>
      </c>
      <c r="AF13" s="3">
        <v>0.47</v>
      </c>
      <c r="AG13" s="3">
        <v>0.25</v>
      </c>
      <c r="AH13" s="3">
        <v>0.02</v>
      </c>
      <c r="AI13" s="3">
        <v>0.7</v>
      </c>
      <c r="AJ13" s="3">
        <v>3.4</v>
      </c>
      <c r="AK13" s="3">
        <v>0.11</v>
      </c>
      <c r="AL13" s="3">
        <v>0.3</v>
      </c>
      <c r="AM13" s="3">
        <v>0.46</v>
      </c>
      <c r="AN13" s="3">
        <v>1.63</v>
      </c>
      <c r="AO13" s="3">
        <v>1840.4</v>
      </c>
      <c r="AP13" s="3" t="s">
        <v>87</v>
      </c>
      <c r="AQ13" s="3">
        <v>0.31</v>
      </c>
      <c r="AR13" s="3">
        <v>0.64</v>
      </c>
      <c r="AS13" s="3" t="s">
        <v>85</v>
      </c>
      <c r="AT13" s="3">
        <v>25.1</v>
      </c>
      <c r="AU13" s="3">
        <v>0.63</v>
      </c>
      <c r="AV13" s="3">
        <v>0.22</v>
      </c>
      <c r="AW13" s="3">
        <v>3.6</v>
      </c>
      <c r="AX13" s="3">
        <v>0.03</v>
      </c>
      <c r="AY13" s="3">
        <v>0.17</v>
      </c>
      <c r="AZ13" s="3">
        <v>0.06</v>
      </c>
      <c r="BA13" s="3">
        <v>1820</v>
      </c>
      <c r="BB13" s="3">
        <v>0.01</v>
      </c>
      <c r="BC13" s="3">
        <v>0.11</v>
      </c>
      <c r="BD13" s="3">
        <v>0.05</v>
      </c>
      <c r="BE13" s="3">
        <v>128.80000000000001</v>
      </c>
      <c r="BF13" s="3">
        <v>0.15</v>
      </c>
      <c r="BG13" s="3">
        <v>6.62</v>
      </c>
      <c r="BH13" s="3">
        <v>0.71</v>
      </c>
      <c r="BI13" s="3">
        <v>59</v>
      </c>
      <c r="BJ13" s="3">
        <v>16</v>
      </c>
      <c r="BK13" s="3"/>
      <c r="BL13" s="3">
        <v>400</v>
      </c>
      <c r="BM13" s="3">
        <v>3.98</v>
      </c>
      <c r="BN13" s="3">
        <v>1.27</v>
      </c>
      <c r="BO13" s="3">
        <v>8.6199999999999992</v>
      </c>
      <c r="BP13" s="3" t="s">
        <v>83</v>
      </c>
      <c r="BQ13" s="3">
        <v>1.53</v>
      </c>
      <c r="BR13" s="3">
        <v>8.89</v>
      </c>
      <c r="BS13" s="3">
        <v>0.56000000000000005</v>
      </c>
      <c r="BT13" s="3">
        <v>0.84371892400000004</v>
      </c>
      <c r="BU13" s="3"/>
    </row>
    <row r="14" spans="1:73" x14ac:dyDescent="0.35">
      <c r="A14" t="s">
        <v>115</v>
      </c>
      <c r="B14" t="s">
        <v>376</v>
      </c>
      <c r="C14" t="s">
        <v>99</v>
      </c>
      <c r="D14" t="s">
        <v>375</v>
      </c>
      <c r="E14" s="3">
        <v>43.47179311</v>
      </c>
      <c r="F14" s="3">
        <v>0.13388259499999999</v>
      </c>
      <c r="G14" s="3">
        <v>2.837853301</v>
      </c>
      <c r="H14" s="3">
        <v>9.4499999999999993</v>
      </c>
      <c r="I14" s="3">
        <v>0.122439638</v>
      </c>
      <c r="J14" s="3">
        <v>41.618034100000003</v>
      </c>
      <c r="K14" s="3">
        <v>8.0100697999999998E-2</v>
      </c>
      <c r="L14" s="3">
        <v>2.2885914E-2</v>
      </c>
      <c r="M14" s="3" t="s">
        <v>103</v>
      </c>
      <c r="N14" s="3">
        <v>0.02</v>
      </c>
      <c r="O14" s="3">
        <v>1.1499999999999999</v>
      </c>
      <c r="P14" s="3">
        <f t="shared" si="0"/>
        <v>98.906989356000011</v>
      </c>
      <c r="Q14" s="3">
        <v>12.61</v>
      </c>
      <c r="R14" s="3" t="s">
        <v>104</v>
      </c>
      <c r="S14" s="3"/>
      <c r="T14" s="3"/>
      <c r="U14" s="3"/>
      <c r="V14" s="3"/>
      <c r="W14" s="3">
        <v>94.98</v>
      </c>
      <c r="X14" s="3">
        <v>7884.2</v>
      </c>
      <c r="Y14" s="3"/>
      <c r="Z14" s="3"/>
      <c r="AA14" s="3"/>
      <c r="AB14" s="3"/>
      <c r="AC14" s="3"/>
      <c r="AD14" s="3" t="s">
        <v>105</v>
      </c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>
        <v>2403.02</v>
      </c>
      <c r="AP14" s="3"/>
      <c r="AQ14" s="3"/>
      <c r="AR14" s="3"/>
      <c r="AS14" s="3"/>
      <c r="AT14" s="3">
        <v>12.5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>
        <v>63</v>
      </c>
      <c r="BF14" s="3"/>
      <c r="BG14" s="3"/>
      <c r="BH14" s="3"/>
      <c r="BI14" s="3">
        <v>46</v>
      </c>
      <c r="BJ14" s="3">
        <v>12.6</v>
      </c>
      <c r="BK14" s="3"/>
      <c r="BL14" s="3">
        <v>0</v>
      </c>
      <c r="BM14" s="3">
        <v>5.25</v>
      </c>
      <c r="BN14" s="3">
        <v>0.78</v>
      </c>
      <c r="BO14" s="3">
        <v>4.38</v>
      </c>
      <c r="BP14" s="3">
        <v>1.68</v>
      </c>
      <c r="BQ14" s="3">
        <v>1.5</v>
      </c>
      <c r="BR14" s="3">
        <v>3.23</v>
      </c>
      <c r="BS14" s="3"/>
      <c r="BT14" s="3">
        <v>0.88772019000000002</v>
      </c>
      <c r="BU14" s="3"/>
    </row>
    <row r="15" spans="1:73" x14ac:dyDescent="0.35">
      <c r="A15" t="s">
        <v>96</v>
      </c>
      <c r="B15" t="s">
        <v>107</v>
      </c>
      <c r="C15" t="s">
        <v>109</v>
      </c>
      <c r="D15" t="s">
        <v>128</v>
      </c>
      <c r="E15" s="3">
        <v>47</v>
      </c>
      <c r="F15" s="3">
        <v>0.53</v>
      </c>
      <c r="G15" s="3">
        <v>11.16</v>
      </c>
      <c r="H15" s="3">
        <v>10.71</v>
      </c>
      <c r="I15" s="3">
        <v>0.19</v>
      </c>
      <c r="J15" s="3">
        <v>12.45</v>
      </c>
      <c r="K15" s="3">
        <v>16.66</v>
      </c>
      <c r="L15" s="3" t="s">
        <v>81</v>
      </c>
      <c r="M15" s="3" t="s">
        <v>81</v>
      </c>
      <c r="N15" s="3">
        <v>0.03</v>
      </c>
      <c r="O15" s="3">
        <v>0.12</v>
      </c>
      <c r="P15" s="3">
        <f t="shared" si="0"/>
        <v>98.850000000000009</v>
      </c>
      <c r="Q15" s="3">
        <v>3.03</v>
      </c>
      <c r="R15" s="3">
        <v>6.4</v>
      </c>
      <c r="S15" s="3">
        <v>0.2</v>
      </c>
      <c r="T15" s="3" t="s">
        <v>84</v>
      </c>
      <c r="U15" s="3">
        <v>0.16</v>
      </c>
      <c r="V15" s="3">
        <v>3.88</v>
      </c>
      <c r="W15" s="3">
        <v>101.96</v>
      </c>
      <c r="X15" s="3">
        <v>856</v>
      </c>
      <c r="Y15" s="3">
        <v>0.09</v>
      </c>
      <c r="Z15" s="3">
        <v>66.5</v>
      </c>
      <c r="AA15" s="3">
        <v>2.33</v>
      </c>
      <c r="AB15" s="3">
        <v>1.51</v>
      </c>
      <c r="AC15" s="3">
        <v>0.52</v>
      </c>
      <c r="AD15" s="3">
        <v>11.29</v>
      </c>
      <c r="AE15" s="3">
        <v>1.87</v>
      </c>
      <c r="AF15" s="3">
        <v>0.9</v>
      </c>
      <c r="AG15" s="3">
        <v>0.5</v>
      </c>
      <c r="AH15" s="3">
        <v>0.04</v>
      </c>
      <c r="AI15" s="3">
        <v>1.42</v>
      </c>
      <c r="AJ15" s="3">
        <v>4.5</v>
      </c>
      <c r="AK15" s="3">
        <v>0.21</v>
      </c>
      <c r="AL15" s="3">
        <v>0.2</v>
      </c>
      <c r="AM15" s="3">
        <v>0.94</v>
      </c>
      <c r="AN15" s="3">
        <v>3.46</v>
      </c>
      <c r="AO15" s="3">
        <v>293.89999999999998</v>
      </c>
      <c r="AP15" s="3">
        <v>1</v>
      </c>
      <c r="AQ15" s="3">
        <v>0.63</v>
      </c>
      <c r="AR15" s="3">
        <v>0.34</v>
      </c>
      <c r="AS15" s="3">
        <v>0.06</v>
      </c>
      <c r="AT15" s="3">
        <v>46</v>
      </c>
      <c r="AU15" s="3">
        <v>1.28</v>
      </c>
      <c r="AV15" s="3">
        <v>0.37</v>
      </c>
      <c r="AW15" s="3">
        <v>12.5</v>
      </c>
      <c r="AX15" s="3">
        <v>0.11</v>
      </c>
      <c r="AY15" s="3">
        <v>0.34</v>
      </c>
      <c r="AZ15" s="3">
        <v>0.12</v>
      </c>
      <c r="BA15" s="3">
        <v>3607</v>
      </c>
      <c r="BB15" s="3" t="s">
        <v>94</v>
      </c>
      <c r="BC15" s="3">
        <v>0.22</v>
      </c>
      <c r="BD15" s="3">
        <v>0.04</v>
      </c>
      <c r="BE15" s="3">
        <v>232.3</v>
      </c>
      <c r="BF15" s="3" t="s">
        <v>97</v>
      </c>
      <c r="BG15" s="3">
        <v>13.11</v>
      </c>
      <c r="BH15" s="3">
        <v>1.44</v>
      </c>
      <c r="BI15" s="3">
        <v>63</v>
      </c>
      <c r="BJ15" s="3">
        <v>32</v>
      </c>
      <c r="BK15" s="3"/>
      <c r="BL15" s="3">
        <v>200</v>
      </c>
      <c r="BM15" s="3">
        <v>1.98</v>
      </c>
      <c r="BN15" s="3">
        <v>1.47</v>
      </c>
      <c r="BO15" s="3">
        <v>12.69</v>
      </c>
      <c r="BP15" s="3" t="s">
        <v>83</v>
      </c>
      <c r="BQ15" s="3">
        <v>0.69</v>
      </c>
      <c r="BR15" s="3">
        <v>14.42</v>
      </c>
      <c r="BS15" s="3">
        <v>1.57</v>
      </c>
      <c r="BT15" s="3">
        <v>0.67619378699999999</v>
      </c>
      <c r="BU15" s="3"/>
    </row>
    <row r="16" spans="1:73" x14ac:dyDescent="0.35">
      <c r="A16" t="s">
        <v>98</v>
      </c>
      <c r="B16" t="s">
        <v>107</v>
      </c>
      <c r="C16" t="s">
        <v>99</v>
      </c>
      <c r="D16" t="s">
        <v>373</v>
      </c>
      <c r="E16" s="3">
        <v>43.3</v>
      </c>
      <c r="F16" s="3">
        <v>0.19</v>
      </c>
      <c r="G16" s="3">
        <v>3.86</v>
      </c>
      <c r="H16" s="3">
        <v>9.77</v>
      </c>
      <c r="I16" s="3">
        <v>0.18</v>
      </c>
      <c r="J16" s="3">
        <v>37.06</v>
      </c>
      <c r="K16" s="3">
        <v>4.07</v>
      </c>
      <c r="L16" s="3" t="s">
        <v>81</v>
      </c>
      <c r="M16" s="3">
        <v>0.01</v>
      </c>
      <c r="N16" s="3">
        <v>0.01</v>
      </c>
      <c r="O16" s="3">
        <v>0.48</v>
      </c>
      <c r="P16" s="3">
        <f t="shared" si="0"/>
        <v>98.929999999999993</v>
      </c>
      <c r="Q16" s="3">
        <v>7.05</v>
      </c>
      <c r="R16" s="3">
        <v>7.4</v>
      </c>
      <c r="S16" s="3">
        <v>0.09</v>
      </c>
      <c r="T16" s="3" t="s">
        <v>84</v>
      </c>
      <c r="U16" s="3">
        <v>0.21</v>
      </c>
      <c r="V16" s="3">
        <v>1.78</v>
      </c>
      <c r="W16" s="3">
        <v>129.19999999999999</v>
      </c>
      <c r="X16" s="3">
        <v>3288</v>
      </c>
      <c r="Y16" s="3">
        <v>0.19</v>
      </c>
      <c r="Z16" s="3">
        <v>43.6</v>
      </c>
      <c r="AA16" s="3">
        <v>0.81</v>
      </c>
      <c r="AB16" s="3">
        <v>0.52</v>
      </c>
      <c r="AC16" s="3">
        <v>0.17</v>
      </c>
      <c r="AD16" s="3">
        <v>4.18</v>
      </c>
      <c r="AE16" s="3">
        <v>0.64</v>
      </c>
      <c r="AF16" s="3">
        <v>0.35</v>
      </c>
      <c r="AG16" s="3">
        <v>0.18</v>
      </c>
      <c r="AH16" s="3">
        <v>0.02</v>
      </c>
      <c r="AI16" s="3">
        <v>0.7</v>
      </c>
      <c r="AJ16" s="3">
        <v>1.7</v>
      </c>
      <c r="AK16" s="3">
        <v>0.08</v>
      </c>
      <c r="AL16" s="3">
        <v>0.18</v>
      </c>
      <c r="AM16" s="3">
        <v>0.43</v>
      </c>
      <c r="AN16" s="3">
        <v>1.4</v>
      </c>
      <c r="AO16" s="3">
        <v>2086</v>
      </c>
      <c r="AP16" s="3">
        <v>2</v>
      </c>
      <c r="AQ16" s="3">
        <v>0.27</v>
      </c>
      <c r="AR16" s="3">
        <v>0.9</v>
      </c>
      <c r="AS16" s="3">
        <v>7.0000000000000007E-2</v>
      </c>
      <c r="AT16" s="3">
        <v>18.399999999999999</v>
      </c>
      <c r="AU16" s="3">
        <v>0.49</v>
      </c>
      <c r="AV16" s="3">
        <v>0.87</v>
      </c>
      <c r="AW16" s="3">
        <v>5.8</v>
      </c>
      <c r="AX16" s="3">
        <v>0.03</v>
      </c>
      <c r="AY16" s="3">
        <v>0.12</v>
      </c>
      <c r="AZ16" s="3">
        <v>7.0000000000000007E-2</v>
      </c>
      <c r="BA16" s="3">
        <v>1294</v>
      </c>
      <c r="BB16" s="3">
        <v>0.01</v>
      </c>
      <c r="BC16" s="3">
        <v>0.08</v>
      </c>
      <c r="BD16" s="3">
        <v>0.05</v>
      </c>
      <c r="BE16" s="3">
        <v>100.9</v>
      </c>
      <c r="BF16" s="3">
        <v>38.880000000000003</v>
      </c>
      <c r="BG16" s="3">
        <v>4.53</v>
      </c>
      <c r="BH16" s="3">
        <v>0.49</v>
      </c>
      <c r="BI16" s="3">
        <v>75</v>
      </c>
      <c r="BJ16" s="3">
        <v>13</v>
      </c>
      <c r="BK16" s="3"/>
      <c r="BL16" s="3">
        <v>300</v>
      </c>
      <c r="BM16" s="3">
        <v>5.92</v>
      </c>
      <c r="BN16" s="3">
        <v>0.97</v>
      </c>
      <c r="BO16" s="3">
        <v>4.76</v>
      </c>
      <c r="BP16" s="3">
        <v>3.93</v>
      </c>
      <c r="BQ16" s="3">
        <v>4.33</v>
      </c>
      <c r="BR16" s="3">
        <v>5.72</v>
      </c>
      <c r="BS16" s="3">
        <v>2.93</v>
      </c>
      <c r="BT16" s="3">
        <v>0.87197030200000003</v>
      </c>
      <c r="BU16" s="3"/>
    </row>
    <row r="17" spans="1:73" x14ac:dyDescent="0.35">
      <c r="A17" t="s">
        <v>220</v>
      </c>
      <c r="B17" t="s">
        <v>111</v>
      </c>
      <c r="C17" t="s">
        <v>116</v>
      </c>
      <c r="D17" t="s">
        <v>373</v>
      </c>
      <c r="E17" s="3">
        <v>44.19</v>
      </c>
      <c r="F17" s="3">
        <v>0.2</v>
      </c>
      <c r="G17" s="3">
        <v>3.49</v>
      </c>
      <c r="H17" s="3">
        <v>8.66</v>
      </c>
      <c r="I17" s="3">
        <v>0.16</v>
      </c>
      <c r="J17" s="3">
        <v>39.65</v>
      </c>
      <c r="K17" s="3">
        <v>2.57</v>
      </c>
      <c r="L17" s="3" t="s">
        <v>81</v>
      </c>
      <c r="M17" s="3" t="s">
        <v>81</v>
      </c>
      <c r="N17" s="3">
        <v>0.01</v>
      </c>
      <c r="O17" s="3">
        <v>0.27</v>
      </c>
      <c r="P17" s="3">
        <f t="shared" si="0"/>
        <v>99.199999999999989</v>
      </c>
      <c r="Q17" s="3">
        <v>12.4</v>
      </c>
      <c r="R17" s="3">
        <v>1.8</v>
      </c>
      <c r="S17" s="3">
        <v>0.05</v>
      </c>
      <c r="T17" s="3" t="s">
        <v>84</v>
      </c>
      <c r="U17" s="3">
        <v>0.14000000000000001</v>
      </c>
      <c r="V17" s="3">
        <v>1.29</v>
      </c>
      <c r="W17" s="3">
        <v>102.68</v>
      </c>
      <c r="X17" s="3">
        <v>1889</v>
      </c>
      <c r="Y17" s="3">
        <v>0.28000000000000003</v>
      </c>
      <c r="Z17" s="3">
        <v>8.6999999999999993</v>
      </c>
      <c r="AA17" s="3">
        <v>0.72</v>
      </c>
      <c r="AB17" s="3">
        <v>0.45</v>
      </c>
      <c r="AC17" s="3">
        <v>0.15</v>
      </c>
      <c r="AD17" s="3">
        <v>3.67</v>
      </c>
      <c r="AE17" s="3">
        <v>0.55000000000000004</v>
      </c>
      <c r="AF17" s="3">
        <v>0.3</v>
      </c>
      <c r="AG17" s="3">
        <v>0.15</v>
      </c>
      <c r="AH17" s="3">
        <v>0.01</v>
      </c>
      <c r="AI17" s="3">
        <v>0.5</v>
      </c>
      <c r="AJ17" s="3">
        <v>1.4</v>
      </c>
      <c r="AK17" s="3">
        <v>7.0000000000000007E-2</v>
      </c>
      <c r="AL17" s="3">
        <v>0.09</v>
      </c>
      <c r="AM17" s="3">
        <v>0.27</v>
      </c>
      <c r="AN17" s="3">
        <v>1.05</v>
      </c>
      <c r="AO17" s="3">
        <v>2180.6999999999998</v>
      </c>
      <c r="AP17" s="3" t="s">
        <v>87</v>
      </c>
      <c r="AQ17" s="3">
        <v>0.21</v>
      </c>
      <c r="AR17" s="3">
        <v>0.64</v>
      </c>
      <c r="AS17" s="3" t="s">
        <v>85</v>
      </c>
      <c r="AT17" s="3">
        <v>16.399999999999999</v>
      </c>
      <c r="AU17" s="3">
        <v>0.39</v>
      </c>
      <c r="AV17" s="3" t="s">
        <v>93</v>
      </c>
      <c r="AW17" s="3">
        <v>4.3</v>
      </c>
      <c r="AX17" s="3" t="s">
        <v>82</v>
      </c>
      <c r="AY17" s="3">
        <v>0.1</v>
      </c>
      <c r="AZ17" s="3">
        <v>0.04</v>
      </c>
      <c r="BA17" s="3">
        <v>1073</v>
      </c>
      <c r="BB17" s="3" t="s">
        <v>94</v>
      </c>
      <c r="BC17" s="3">
        <v>7.0000000000000007E-2</v>
      </c>
      <c r="BD17" s="3">
        <v>0.03</v>
      </c>
      <c r="BE17" s="3">
        <v>89.1</v>
      </c>
      <c r="BF17" s="3">
        <v>8.32</v>
      </c>
      <c r="BG17" s="3">
        <v>4.09</v>
      </c>
      <c r="BH17" s="3">
        <v>0.46</v>
      </c>
      <c r="BI17" s="3">
        <v>48</v>
      </c>
      <c r="BJ17" s="3">
        <v>11</v>
      </c>
      <c r="BK17" s="3"/>
      <c r="BL17" s="3">
        <v>500</v>
      </c>
      <c r="BM17" s="3">
        <v>3.81</v>
      </c>
      <c r="BN17" s="3">
        <v>2.91</v>
      </c>
      <c r="BO17" s="3">
        <v>6.77</v>
      </c>
      <c r="BP17" s="3">
        <v>3.27</v>
      </c>
      <c r="BQ17" s="3">
        <v>3.02</v>
      </c>
      <c r="BR17" s="3" t="s">
        <v>95</v>
      </c>
      <c r="BS17" s="3">
        <v>9.1199999999999992</v>
      </c>
      <c r="BT17" s="3">
        <v>0.891620462</v>
      </c>
      <c r="BU17" s="3"/>
    </row>
    <row r="18" spans="1:73" x14ac:dyDescent="0.35">
      <c r="A18" t="s">
        <v>100</v>
      </c>
      <c r="B18" t="s">
        <v>107</v>
      </c>
      <c r="C18" t="s">
        <v>117</v>
      </c>
      <c r="D18" t="s">
        <v>128</v>
      </c>
      <c r="E18" s="3">
        <v>47.78</v>
      </c>
      <c r="F18" s="3">
        <v>0.52</v>
      </c>
      <c r="G18" s="3">
        <v>9.67</v>
      </c>
      <c r="H18" s="3">
        <v>11.41</v>
      </c>
      <c r="I18" s="3">
        <v>0.19</v>
      </c>
      <c r="J18" s="3">
        <v>17.46</v>
      </c>
      <c r="K18" s="3">
        <v>10.82</v>
      </c>
      <c r="L18" s="3">
        <v>0.31</v>
      </c>
      <c r="M18" s="3">
        <v>0.09</v>
      </c>
      <c r="N18" s="3">
        <v>0.03</v>
      </c>
      <c r="O18" s="3">
        <v>0.33</v>
      </c>
      <c r="P18" s="3">
        <f t="shared" si="0"/>
        <v>98.61</v>
      </c>
      <c r="Q18" s="3">
        <v>3.92</v>
      </c>
      <c r="R18" s="3">
        <v>22.3</v>
      </c>
      <c r="S18" s="3">
        <v>0.13</v>
      </c>
      <c r="T18" s="3" t="s">
        <v>84</v>
      </c>
      <c r="U18" s="3">
        <v>0.1</v>
      </c>
      <c r="V18" s="3">
        <v>3.54</v>
      </c>
      <c r="W18" s="3">
        <v>99.06</v>
      </c>
      <c r="X18" s="3">
        <v>2260</v>
      </c>
      <c r="Y18" s="3">
        <v>0.46</v>
      </c>
      <c r="Z18" s="3">
        <v>38.700000000000003</v>
      </c>
      <c r="AA18" s="3">
        <v>2.2200000000000002</v>
      </c>
      <c r="AB18" s="3">
        <v>1.47</v>
      </c>
      <c r="AC18" s="3">
        <v>0.44</v>
      </c>
      <c r="AD18" s="3">
        <v>10.71</v>
      </c>
      <c r="AE18" s="3">
        <v>1.77</v>
      </c>
      <c r="AF18" s="3">
        <v>0.89</v>
      </c>
      <c r="AG18" s="3">
        <v>0.49</v>
      </c>
      <c r="AH18" s="3">
        <v>0.04</v>
      </c>
      <c r="AI18" s="3">
        <v>1.34</v>
      </c>
      <c r="AJ18" s="3">
        <v>10.4</v>
      </c>
      <c r="AK18" s="3">
        <v>0.21</v>
      </c>
      <c r="AL18" s="3">
        <v>0.16</v>
      </c>
      <c r="AM18" s="3">
        <v>0.95</v>
      </c>
      <c r="AN18" s="3">
        <v>3.28</v>
      </c>
      <c r="AO18" s="3">
        <v>667.6</v>
      </c>
      <c r="AP18" s="3" t="s">
        <v>87</v>
      </c>
      <c r="AQ18" s="3">
        <v>0.61</v>
      </c>
      <c r="AR18" s="3">
        <v>2.21</v>
      </c>
      <c r="AS18" s="3" t="s">
        <v>85</v>
      </c>
      <c r="AT18" s="3">
        <v>45.8</v>
      </c>
      <c r="AU18" s="3">
        <v>1.21</v>
      </c>
      <c r="AV18" s="3">
        <v>0.31</v>
      </c>
      <c r="AW18" s="3">
        <v>38.799999999999997</v>
      </c>
      <c r="AX18" s="3">
        <v>0.06</v>
      </c>
      <c r="AY18" s="3">
        <v>0.33</v>
      </c>
      <c r="AZ18" s="3">
        <v>0.1</v>
      </c>
      <c r="BA18" s="3">
        <v>3510</v>
      </c>
      <c r="BB18" s="3">
        <v>0.02</v>
      </c>
      <c r="BC18" s="3">
        <v>0.21</v>
      </c>
      <c r="BD18" s="3">
        <v>0.04</v>
      </c>
      <c r="BE18" s="3">
        <v>235.1</v>
      </c>
      <c r="BF18" s="3">
        <v>39.869999999999997</v>
      </c>
      <c r="BG18" s="3">
        <v>13.03</v>
      </c>
      <c r="BH18" s="3">
        <v>1.41</v>
      </c>
      <c r="BI18" s="3">
        <v>76</v>
      </c>
      <c r="BJ18" s="3">
        <v>31</v>
      </c>
      <c r="BK18" s="3"/>
      <c r="BL18" s="3">
        <v>400</v>
      </c>
      <c r="BM18" s="3">
        <v>4.03</v>
      </c>
      <c r="BN18" s="3">
        <v>1.6</v>
      </c>
      <c r="BO18" s="3">
        <v>14.32</v>
      </c>
      <c r="BP18" s="3">
        <v>0.62</v>
      </c>
      <c r="BQ18" s="3">
        <v>1.44</v>
      </c>
      <c r="BR18" s="3">
        <v>16.329999999999998</v>
      </c>
      <c r="BS18" s="3">
        <v>4.41</v>
      </c>
      <c r="BT18" s="3">
        <v>0.73318868699999995</v>
      </c>
      <c r="BU18" s="3"/>
    </row>
    <row r="19" spans="1:73" x14ac:dyDescent="0.35">
      <c r="A19" t="s">
        <v>101</v>
      </c>
      <c r="B19" t="s">
        <v>107</v>
      </c>
      <c r="C19" t="s">
        <v>99</v>
      </c>
      <c r="D19" t="s">
        <v>373</v>
      </c>
      <c r="E19" s="3">
        <v>43.1</v>
      </c>
      <c r="F19" s="3">
        <v>0.23</v>
      </c>
      <c r="G19" s="3">
        <v>4.58</v>
      </c>
      <c r="H19" s="3">
        <v>11.08</v>
      </c>
      <c r="I19" s="3">
        <v>0.2</v>
      </c>
      <c r="J19" s="3">
        <v>34.24</v>
      </c>
      <c r="K19" s="3">
        <v>4.32</v>
      </c>
      <c r="L19" s="3" t="s">
        <v>81</v>
      </c>
      <c r="M19" s="3">
        <v>0.04</v>
      </c>
      <c r="N19" s="3">
        <v>0.01</v>
      </c>
      <c r="O19" s="3">
        <v>0.92</v>
      </c>
      <c r="P19" s="3">
        <f t="shared" si="0"/>
        <v>98.720000000000013</v>
      </c>
      <c r="Q19" s="3">
        <v>5.55</v>
      </c>
      <c r="R19" s="3">
        <v>7.1</v>
      </c>
      <c r="S19" s="3">
        <v>0.11</v>
      </c>
      <c r="T19" s="3" t="s">
        <v>84</v>
      </c>
      <c r="U19" s="3">
        <v>0.09</v>
      </c>
      <c r="V19" s="3">
        <v>1.61</v>
      </c>
      <c r="W19" s="3">
        <v>145</v>
      </c>
      <c r="X19" s="3">
        <v>6306</v>
      </c>
      <c r="Y19" s="3">
        <v>0.15</v>
      </c>
      <c r="Z19" s="3">
        <v>35.299999999999997</v>
      </c>
      <c r="AA19" s="3">
        <v>0.92</v>
      </c>
      <c r="AB19" s="3">
        <v>0.59</v>
      </c>
      <c r="AC19" s="3">
        <v>0.2</v>
      </c>
      <c r="AD19" s="3">
        <v>5.3</v>
      </c>
      <c r="AE19" s="3">
        <v>0.72</v>
      </c>
      <c r="AF19" s="3">
        <v>0.38</v>
      </c>
      <c r="AG19" s="3">
        <v>0.2</v>
      </c>
      <c r="AH19" s="3">
        <v>0.02</v>
      </c>
      <c r="AI19" s="3">
        <v>0.6</v>
      </c>
      <c r="AJ19" s="3">
        <v>2.2999999999999998</v>
      </c>
      <c r="AK19" s="3">
        <v>0.09</v>
      </c>
      <c r="AL19" s="3">
        <v>0.12</v>
      </c>
      <c r="AM19" s="3">
        <v>0.39</v>
      </c>
      <c r="AN19" s="3">
        <v>1.37</v>
      </c>
      <c r="AO19" s="3">
        <v>1536.9</v>
      </c>
      <c r="AP19" s="3" t="s">
        <v>87</v>
      </c>
      <c r="AQ19" s="3">
        <v>0.26</v>
      </c>
      <c r="AR19" s="3">
        <v>2.4900000000000002</v>
      </c>
      <c r="AS19" s="3" t="s">
        <v>85</v>
      </c>
      <c r="AT19" s="3">
        <v>20.5</v>
      </c>
      <c r="AU19" s="3">
        <v>0.51</v>
      </c>
      <c r="AV19" s="3" t="s">
        <v>93</v>
      </c>
      <c r="AW19" s="3">
        <v>16.5</v>
      </c>
      <c r="AX19" s="3">
        <v>0.04</v>
      </c>
      <c r="AY19" s="3">
        <v>0.13</v>
      </c>
      <c r="AZ19" s="3">
        <v>0.05</v>
      </c>
      <c r="BA19" s="3">
        <v>1434</v>
      </c>
      <c r="BB19" s="3">
        <v>0.05</v>
      </c>
      <c r="BC19" s="3">
        <v>0.09</v>
      </c>
      <c r="BD19" s="3">
        <v>0.02</v>
      </c>
      <c r="BE19" s="3">
        <v>120.3</v>
      </c>
      <c r="BF19" s="3">
        <v>94.05</v>
      </c>
      <c r="BG19" s="3">
        <v>5.22</v>
      </c>
      <c r="BH19" s="3">
        <v>0.56999999999999995</v>
      </c>
      <c r="BI19" s="3">
        <v>68</v>
      </c>
      <c r="BJ19" s="3">
        <v>14</v>
      </c>
      <c r="BK19" s="3"/>
      <c r="BL19" s="3">
        <v>600</v>
      </c>
      <c r="BM19" s="3">
        <v>7.59</v>
      </c>
      <c r="BN19" s="3">
        <v>1.35</v>
      </c>
      <c r="BO19" s="3">
        <v>7.49</v>
      </c>
      <c r="BP19" s="3">
        <v>2.67</v>
      </c>
      <c r="BQ19" s="3">
        <v>2.1800000000000002</v>
      </c>
      <c r="BR19" s="3">
        <v>9.84</v>
      </c>
      <c r="BS19" s="3">
        <v>2.2200000000000002</v>
      </c>
      <c r="BT19" s="3">
        <v>0.84729597000000001</v>
      </c>
      <c r="BU19" s="3"/>
    </row>
    <row r="20" spans="1:73" x14ac:dyDescent="0.35">
      <c r="A20" t="s">
        <v>102</v>
      </c>
      <c r="B20" t="s">
        <v>107</v>
      </c>
      <c r="C20" t="s">
        <v>99</v>
      </c>
      <c r="D20" t="s">
        <v>130</v>
      </c>
      <c r="E20" s="3">
        <v>43.98</v>
      </c>
      <c r="F20" s="3">
        <v>0.24</v>
      </c>
      <c r="G20" s="3">
        <v>4.9400000000000004</v>
      </c>
      <c r="H20" s="3">
        <v>11.33</v>
      </c>
      <c r="I20" s="3">
        <v>0.17</v>
      </c>
      <c r="J20" s="3">
        <v>32.75</v>
      </c>
      <c r="K20" s="3">
        <v>4.79</v>
      </c>
      <c r="L20" s="3" t="s">
        <v>81</v>
      </c>
      <c r="M20" s="3">
        <v>0.02</v>
      </c>
      <c r="N20" s="3">
        <v>0.02</v>
      </c>
      <c r="O20" s="3">
        <v>0.53</v>
      </c>
      <c r="P20" s="3">
        <f t="shared" si="0"/>
        <v>98.77</v>
      </c>
      <c r="Q20" s="3">
        <v>6.57</v>
      </c>
      <c r="R20" s="3">
        <v>8.4</v>
      </c>
      <c r="S20" s="3">
        <v>0.1</v>
      </c>
      <c r="T20" s="3" t="s">
        <v>84</v>
      </c>
      <c r="U20" s="3">
        <v>7.0000000000000007E-2</v>
      </c>
      <c r="V20" s="3">
        <v>1.66</v>
      </c>
      <c r="W20" s="3">
        <v>139.65</v>
      </c>
      <c r="X20" s="3">
        <v>3652</v>
      </c>
      <c r="Y20" s="3">
        <v>0.27</v>
      </c>
      <c r="Z20" s="3">
        <v>33.700000000000003</v>
      </c>
      <c r="AA20" s="3">
        <v>0.94</v>
      </c>
      <c r="AB20" s="3">
        <v>0.61</v>
      </c>
      <c r="AC20" s="3">
        <v>0.2</v>
      </c>
      <c r="AD20" s="3">
        <v>5.26</v>
      </c>
      <c r="AE20" s="3">
        <v>0.75</v>
      </c>
      <c r="AF20" s="3">
        <v>0.39</v>
      </c>
      <c r="AG20" s="3">
        <v>0.2</v>
      </c>
      <c r="AH20" s="3">
        <v>0.02</v>
      </c>
      <c r="AI20" s="3">
        <v>0.66</v>
      </c>
      <c r="AJ20" s="3">
        <v>2.9</v>
      </c>
      <c r="AK20" s="3">
        <v>0.09</v>
      </c>
      <c r="AL20" s="3">
        <v>0.14000000000000001</v>
      </c>
      <c r="AM20" s="3">
        <v>0.41</v>
      </c>
      <c r="AN20" s="3">
        <v>1.44</v>
      </c>
      <c r="AO20" s="3">
        <v>1341.7</v>
      </c>
      <c r="AP20" s="3">
        <v>0.8</v>
      </c>
      <c r="AQ20" s="3">
        <v>0.26</v>
      </c>
      <c r="AR20" s="3">
        <v>1.41</v>
      </c>
      <c r="AS20" s="3" t="s">
        <v>85</v>
      </c>
      <c r="AT20" s="3">
        <v>21.7</v>
      </c>
      <c r="AU20" s="3">
        <v>0.52</v>
      </c>
      <c r="AV20" s="3" t="s">
        <v>93</v>
      </c>
      <c r="AW20" s="3">
        <v>10.8</v>
      </c>
      <c r="AX20" s="3">
        <v>0.03</v>
      </c>
      <c r="AY20" s="3">
        <v>0.14000000000000001</v>
      </c>
      <c r="AZ20" s="3">
        <v>0.05</v>
      </c>
      <c r="BA20" s="3">
        <v>1451</v>
      </c>
      <c r="BB20" s="3">
        <v>0.02</v>
      </c>
      <c r="BC20" s="3">
        <v>0.09</v>
      </c>
      <c r="BD20" s="3">
        <v>0.03</v>
      </c>
      <c r="BE20" s="3">
        <v>119.7</v>
      </c>
      <c r="BF20" s="3">
        <v>23.77</v>
      </c>
      <c r="BG20" s="3">
        <v>5.54</v>
      </c>
      <c r="BH20" s="3">
        <v>0.61</v>
      </c>
      <c r="BI20" s="3">
        <v>66</v>
      </c>
      <c r="BJ20" s="3">
        <v>14</v>
      </c>
      <c r="BK20" s="3"/>
      <c r="BL20" s="3">
        <v>600</v>
      </c>
      <c r="BM20" s="3">
        <v>4.76</v>
      </c>
      <c r="BN20" s="3">
        <v>1.55</v>
      </c>
      <c r="BO20" s="3">
        <v>6.85</v>
      </c>
      <c r="BP20" s="3">
        <v>0.97</v>
      </c>
      <c r="BQ20" s="3">
        <v>0.98</v>
      </c>
      <c r="BR20" s="3">
        <v>9.44</v>
      </c>
      <c r="BS20" s="3">
        <v>1.58</v>
      </c>
      <c r="BT20" s="3">
        <v>0.83852354399999995</v>
      </c>
      <c r="BU20" s="3"/>
    </row>
    <row r="21" spans="1:73" x14ac:dyDescent="0.35">
      <c r="A21" t="s">
        <v>106</v>
      </c>
      <c r="B21" t="s">
        <v>107</v>
      </c>
      <c r="C21" t="s">
        <v>99</v>
      </c>
      <c r="D21" t="s">
        <v>437</v>
      </c>
      <c r="E21" s="3">
        <v>44.1</v>
      </c>
      <c r="F21" s="3">
        <v>0.27</v>
      </c>
      <c r="G21" s="3">
        <v>5.59</v>
      </c>
      <c r="H21" s="3">
        <v>8.9600000000000009</v>
      </c>
      <c r="I21" s="3">
        <v>0.2</v>
      </c>
      <c r="J21" s="3">
        <v>30.9</v>
      </c>
      <c r="K21" s="3">
        <v>8.4600000000000009</v>
      </c>
      <c r="L21" s="3" t="s">
        <v>81</v>
      </c>
      <c r="M21" s="3" t="s">
        <v>81</v>
      </c>
      <c r="N21" s="3">
        <v>0.01</v>
      </c>
      <c r="O21" s="3">
        <v>0.48</v>
      </c>
      <c r="P21" s="3">
        <f t="shared" si="0"/>
        <v>98.970000000000027</v>
      </c>
      <c r="Q21" s="3">
        <v>9.2200000000000006</v>
      </c>
      <c r="R21" s="3">
        <v>3.9</v>
      </c>
      <c r="S21" s="3">
        <v>7.0000000000000007E-2</v>
      </c>
      <c r="T21" s="3" t="s">
        <v>84</v>
      </c>
      <c r="U21" s="3">
        <v>0.05</v>
      </c>
      <c r="V21" s="3">
        <v>1.76</v>
      </c>
      <c r="W21" s="3">
        <v>112.14</v>
      </c>
      <c r="X21" s="3">
        <v>3325</v>
      </c>
      <c r="Y21" s="3">
        <v>0.36</v>
      </c>
      <c r="Z21" s="3">
        <v>13.9</v>
      </c>
      <c r="AA21" s="3">
        <v>1.07</v>
      </c>
      <c r="AB21" s="3">
        <v>0.7</v>
      </c>
      <c r="AC21" s="3">
        <v>0.22</v>
      </c>
      <c r="AD21" s="3">
        <v>5.62</v>
      </c>
      <c r="AE21" s="3">
        <v>0.85</v>
      </c>
      <c r="AF21" s="3">
        <v>0.39</v>
      </c>
      <c r="AG21" s="3">
        <v>0.23</v>
      </c>
      <c r="AH21" s="3">
        <v>0.02</v>
      </c>
      <c r="AI21" s="3">
        <v>0.73</v>
      </c>
      <c r="AJ21" s="3">
        <v>4.5</v>
      </c>
      <c r="AK21" s="3">
        <v>0.1</v>
      </c>
      <c r="AL21" s="3">
        <v>0.13</v>
      </c>
      <c r="AM21" s="3">
        <v>0.36</v>
      </c>
      <c r="AN21" s="3">
        <v>1.53</v>
      </c>
      <c r="AO21" s="3">
        <v>1613.2</v>
      </c>
      <c r="AP21" s="3">
        <v>0.6</v>
      </c>
      <c r="AQ21" s="3">
        <v>0.28000000000000003</v>
      </c>
      <c r="AR21" s="3">
        <v>1.21</v>
      </c>
      <c r="AS21" s="3" t="s">
        <v>85</v>
      </c>
      <c r="AT21" s="3">
        <v>23.7</v>
      </c>
      <c r="AU21" s="3">
        <v>0.57999999999999996</v>
      </c>
      <c r="AV21" s="3">
        <v>0.21</v>
      </c>
      <c r="AW21" s="3">
        <v>8.5</v>
      </c>
      <c r="AX21" s="3">
        <v>0.02</v>
      </c>
      <c r="AY21" s="3">
        <v>0.15</v>
      </c>
      <c r="AZ21" s="3">
        <v>0.06</v>
      </c>
      <c r="BA21" s="3">
        <v>1592</v>
      </c>
      <c r="BB21" s="3">
        <v>0.01</v>
      </c>
      <c r="BC21" s="3">
        <v>0.1</v>
      </c>
      <c r="BD21" s="3">
        <v>0.05</v>
      </c>
      <c r="BE21" s="3">
        <v>127.5</v>
      </c>
      <c r="BF21" s="3">
        <v>19.55</v>
      </c>
      <c r="BG21" s="3">
        <v>6.11</v>
      </c>
      <c r="BH21" s="3">
        <v>0.65</v>
      </c>
      <c r="BI21" s="3">
        <v>46</v>
      </c>
      <c r="BJ21" s="3">
        <v>13</v>
      </c>
      <c r="BK21" s="3"/>
      <c r="BL21" s="3">
        <v>700.00000000000011</v>
      </c>
      <c r="BM21" s="3">
        <v>4.5199999999999996</v>
      </c>
      <c r="BN21" s="3">
        <v>0.97</v>
      </c>
      <c r="BO21" s="3">
        <v>9.7799999999999994</v>
      </c>
      <c r="BP21" s="3">
        <v>0.82</v>
      </c>
      <c r="BQ21" s="3">
        <v>1.03</v>
      </c>
      <c r="BR21" s="3">
        <v>9.89</v>
      </c>
      <c r="BS21" s="3">
        <v>3.07</v>
      </c>
      <c r="BT21" s="3">
        <v>0.86102083600000001</v>
      </c>
      <c r="BU21" s="3"/>
    </row>
    <row r="22" spans="1:73" x14ac:dyDescent="0.35"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</row>
    <row r="23" spans="1:73" x14ac:dyDescent="0.35">
      <c r="A23" t="s">
        <v>377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</row>
    <row r="24" spans="1:73" x14ac:dyDescent="0.35">
      <c r="D24" t="s">
        <v>135</v>
      </c>
      <c r="E24" s="3" t="s">
        <v>136</v>
      </c>
      <c r="F24" s="3" t="s">
        <v>136</v>
      </c>
      <c r="G24" s="3" t="s">
        <v>136</v>
      </c>
      <c r="H24" s="3" t="s">
        <v>136</v>
      </c>
      <c r="I24" s="3" t="s">
        <v>136</v>
      </c>
      <c r="J24" s="3" t="s">
        <v>136</v>
      </c>
      <c r="K24" s="3" t="s">
        <v>136</v>
      </c>
      <c r="L24" s="3" t="s">
        <v>136</v>
      </c>
      <c r="M24" s="3" t="s">
        <v>136</v>
      </c>
      <c r="N24" s="3" t="s">
        <v>136</v>
      </c>
      <c r="O24" s="3" t="s">
        <v>137</v>
      </c>
      <c r="P24" s="3"/>
      <c r="Q24" s="3"/>
      <c r="R24" s="3"/>
      <c r="S24" s="3"/>
      <c r="T24" s="3"/>
      <c r="U24" s="3"/>
      <c r="V24" s="3" t="s">
        <v>137</v>
      </c>
      <c r="W24" s="3" t="s">
        <v>137</v>
      </c>
      <c r="X24" s="3" t="s">
        <v>137</v>
      </c>
      <c r="Y24" s="3"/>
      <c r="Z24" s="3"/>
      <c r="AA24" s="3"/>
      <c r="AB24" s="3"/>
      <c r="AC24" s="3" t="s">
        <v>137</v>
      </c>
      <c r="AD24" s="3"/>
      <c r="AE24" s="3"/>
      <c r="AF24" s="3" t="s">
        <v>137</v>
      </c>
      <c r="AG24" s="3"/>
      <c r="AH24" s="3"/>
      <c r="AI24" s="3" t="s">
        <v>137</v>
      </c>
      <c r="AJ24" s="3"/>
      <c r="AK24" s="3" t="s">
        <v>137</v>
      </c>
      <c r="AL24" s="3"/>
      <c r="AM24" s="3"/>
      <c r="AN24" s="3"/>
      <c r="AO24" s="3" t="s">
        <v>137</v>
      </c>
      <c r="AP24" s="3"/>
      <c r="AQ24" s="3"/>
      <c r="AR24" s="3" t="s">
        <v>137</v>
      </c>
      <c r="AS24" s="3"/>
      <c r="AT24" s="3" t="s">
        <v>137</v>
      </c>
      <c r="AU24" s="3" t="s">
        <v>137</v>
      </c>
      <c r="AV24" s="3"/>
      <c r="AW24" s="3" t="s">
        <v>136</v>
      </c>
      <c r="AX24" s="3"/>
      <c r="AY24" s="3" t="s">
        <v>137</v>
      </c>
      <c r="AZ24" s="3"/>
      <c r="BA24" s="3"/>
      <c r="BB24" s="3"/>
      <c r="BC24" s="3"/>
      <c r="BD24" s="3"/>
      <c r="BE24" s="3"/>
      <c r="BF24" s="3"/>
      <c r="BG24" s="3" t="s">
        <v>136</v>
      </c>
      <c r="BH24" s="3" t="s">
        <v>137</v>
      </c>
      <c r="BI24" s="3"/>
      <c r="BJ24" s="3" t="s">
        <v>136</v>
      </c>
      <c r="BK24" s="3"/>
      <c r="BL24" s="3"/>
      <c r="BM24" s="3"/>
      <c r="BN24" s="3"/>
      <c r="BO24" s="3"/>
      <c r="BP24" s="3"/>
      <c r="BQ24" s="3"/>
      <c r="BR24" s="3"/>
      <c r="BS24" s="3"/>
      <c r="BT24" s="3"/>
    </row>
    <row r="25" spans="1:73" x14ac:dyDescent="0.35">
      <c r="A25" t="s">
        <v>378</v>
      </c>
      <c r="B25" t="s">
        <v>107</v>
      </c>
      <c r="C25" t="s">
        <v>99</v>
      </c>
      <c r="D25" t="s">
        <v>437</v>
      </c>
      <c r="E25" s="3">
        <v>44.4</v>
      </c>
      <c r="F25" s="3">
        <v>0.3</v>
      </c>
      <c r="G25" s="3">
        <v>5.94</v>
      </c>
      <c r="H25" s="3">
        <v>11.615080000000001</v>
      </c>
      <c r="I25" s="3">
        <v>0.21</v>
      </c>
      <c r="J25" s="3">
        <v>30.94</v>
      </c>
      <c r="K25" s="3">
        <v>4.9400000000000004</v>
      </c>
      <c r="L25" s="3">
        <v>0.23</v>
      </c>
      <c r="M25" s="3">
        <v>7.0000000000000007E-2</v>
      </c>
      <c r="N25" s="3">
        <v>0.04</v>
      </c>
      <c r="O25" s="3">
        <v>0.61799000000000004</v>
      </c>
      <c r="P25" s="3">
        <f t="shared" ref="P25:P31" si="1">SUM(E25:O25)</f>
        <v>99.303070000000005</v>
      </c>
      <c r="Q25" s="3">
        <v>5</v>
      </c>
      <c r="R25" s="3"/>
      <c r="T25" s="3"/>
      <c r="U25" s="3"/>
      <c r="V25" s="3" t="s">
        <v>108</v>
      </c>
      <c r="W25" s="3">
        <v>123</v>
      </c>
      <c r="X25" s="3">
        <v>4262</v>
      </c>
      <c r="Y25" s="3"/>
      <c r="Z25" s="3"/>
      <c r="AA25" s="3"/>
      <c r="AB25" s="3"/>
      <c r="AC25" s="3">
        <v>0.221</v>
      </c>
      <c r="AD25" s="3"/>
      <c r="AE25" s="3"/>
      <c r="AF25" s="3">
        <v>0.42</v>
      </c>
      <c r="AG25" s="3"/>
      <c r="AH25" s="3"/>
      <c r="AI25" s="3">
        <v>0.82499999999999996</v>
      </c>
      <c r="AJ25" s="3"/>
      <c r="AK25" s="3">
        <v>0.112</v>
      </c>
      <c r="AL25" s="3"/>
      <c r="AM25" s="3"/>
      <c r="AN25" s="3"/>
      <c r="AO25" s="3">
        <v>2342</v>
      </c>
      <c r="AP25" s="3"/>
      <c r="AQ25" s="3"/>
      <c r="AR25" s="3">
        <v>3</v>
      </c>
      <c r="AS25" s="3"/>
      <c r="AT25" s="3">
        <v>19</v>
      </c>
      <c r="AU25" s="3">
        <v>0.60899999999999999</v>
      </c>
      <c r="AV25" s="3"/>
      <c r="AW25" s="3">
        <v>18</v>
      </c>
      <c r="AX25" s="3"/>
      <c r="AY25" s="3">
        <v>0.247</v>
      </c>
      <c r="AZ25" s="3"/>
      <c r="BA25" s="3"/>
      <c r="BB25" s="3"/>
      <c r="BC25" s="3"/>
      <c r="BD25" s="3"/>
      <c r="BE25" s="3"/>
      <c r="BF25" s="3"/>
      <c r="BG25" s="3">
        <v>7.5</v>
      </c>
      <c r="BH25" s="3">
        <v>0.76200000000000001</v>
      </c>
      <c r="BI25" s="3"/>
      <c r="BJ25" s="3">
        <v>16.8</v>
      </c>
      <c r="BK25" s="3"/>
      <c r="BL25" s="3"/>
      <c r="BM25" s="3"/>
      <c r="BN25" s="3"/>
      <c r="BO25" s="3"/>
      <c r="BP25" s="3"/>
      <c r="BQ25" s="3"/>
      <c r="BR25" s="3"/>
      <c r="BS25" s="3"/>
      <c r="BT25" s="3">
        <v>0.82711363475338828</v>
      </c>
      <c r="BU25" s="3"/>
    </row>
    <row r="26" spans="1:73" x14ac:dyDescent="0.35">
      <c r="A26" t="s">
        <v>222</v>
      </c>
      <c r="B26" t="s">
        <v>107</v>
      </c>
      <c r="C26" t="s">
        <v>99</v>
      </c>
      <c r="D26" t="s">
        <v>373</v>
      </c>
      <c r="E26" s="3">
        <v>43.81</v>
      </c>
      <c r="F26" s="3">
        <v>0.26</v>
      </c>
      <c r="G26" s="3">
        <v>5.07</v>
      </c>
      <c r="H26" s="3">
        <v>11.192550000000001</v>
      </c>
      <c r="I26" s="3">
        <v>0.21</v>
      </c>
      <c r="J26" s="3">
        <v>33.1</v>
      </c>
      <c r="K26" s="3">
        <v>4.7699999999999996</v>
      </c>
      <c r="L26" s="3">
        <v>0.23</v>
      </c>
      <c r="M26" s="3">
        <v>0.05</v>
      </c>
      <c r="N26" s="3">
        <v>0.03</v>
      </c>
      <c r="O26" s="3">
        <v>0.6583</v>
      </c>
      <c r="P26" s="3">
        <f t="shared" si="1"/>
        <v>99.380849999999995</v>
      </c>
      <c r="Q26" s="3">
        <v>5.23</v>
      </c>
      <c r="R26" s="3"/>
      <c r="T26" s="3"/>
      <c r="U26" s="3"/>
      <c r="V26" s="3">
        <v>2.2839999999999998</v>
      </c>
      <c r="W26" s="3">
        <v>129</v>
      </c>
      <c r="X26" s="3">
        <v>4640</v>
      </c>
      <c r="Y26" s="3"/>
      <c r="Z26" s="3"/>
      <c r="AA26" s="3"/>
      <c r="AB26" s="3"/>
      <c r="AC26" s="3">
        <v>0.27500000000000002</v>
      </c>
      <c r="AD26" s="3"/>
      <c r="AE26" s="3"/>
      <c r="AF26" s="3" t="s">
        <v>108</v>
      </c>
      <c r="AG26" s="3"/>
      <c r="AH26" s="3"/>
      <c r="AI26" s="3">
        <v>0.79</v>
      </c>
      <c r="AJ26" s="3"/>
      <c r="AK26" s="3">
        <v>0.109</v>
      </c>
      <c r="AL26" s="3"/>
      <c r="AM26" s="3"/>
      <c r="AN26" s="3"/>
      <c r="AO26" s="3">
        <v>1901</v>
      </c>
      <c r="AP26" s="3"/>
      <c r="AQ26" s="3"/>
      <c r="AR26" s="3">
        <v>2</v>
      </c>
      <c r="AS26" s="3"/>
      <c r="AT26" s="3">
        <v>17.2</v>
      </c>
      <c r="AU26" s="3">
        <v>0.50700000000000001</v>
      </c>
      <c r="AV26" s="3"/>
      <c r="AW26" s="3">
        <v>8</v>
      </c>
      <c r="AX26" s="3"/>
      <c r="AY26" s="3">
        <v>0.127</v>
      </c>
      <c r="AZ26" s="3"/>
      <c r="BA26" s="3"/>
      <c r="BB26" s="3"/>
      <c r="BC26" s="3"/>
      <c r="BD26" s="3"/>
      <c r="BE26" s="3"/>
      <c r="BF26" s="3"/>
      <c r="BG26" s="3">
        <v>6.1</v>
      </c>
      <c r="BH26" s="3">
        <v>0.61599999999999999</v>
      </c>
      <c r="BI26" s="3"/>
      <c r="BJ26" s="3">
        <v>13.9</v>
      </c>
      <c r="BK26" s="3"/>
      <c r="BL26" s="3"/>
      <c r="BM26" s="3"/>
      <c r="BN26" s="3"/>
      <c r="BO26" s="3"/>
      <c r="BP26" s="3"/>
      <c r="BQ26" s="3"/>
      <c r="BR26" s="3"/>
      <c r="BS26" s="3"/>
      <c r="BT26" s="3">
        <v>0.84155540439820697</v>
      </c>
      <c r="BU26" s="3"/>
    </row>
    <row r="27" spans="1:73" x14ac:dyDescent="0.35">
      <c r="A27" t="s">
        <v>223</v>
      </c>
      <c r="B27" t="s">
        <v>107</v>
      </c>
      <c r="C27" t="s">
        <v>109</v>
      </c>
      <c r="D27" t="s">
        <v>438</v>
      </c>
      <c r="E27" s="3">
        <v>47.12</v>
      </c>
      <c r="F27" s="3">
        <v>0.54</v>
      </c>
      <c r="G27" s="3">
        <v>11.35</v>
      </c>
      <c r="H27" s="3">
        <v>10.554259999999999</v>
      </c>
      <c r="I27" s="3">
        <v>0.2</v>
      </c>
      <c r="J27" s="3">
        <v>11.33</v>
      </c>
      <c r="K27" s="3">
        <v>17.54</v>
      </c>
      <c r="L27" s="3">
        <v>0.12</v>
      </c>
      <c r="M27" s="3">
        <v>0.01</v>
      </c>
      <c r="N27" s="3">
        <v>0.05</v>
      </c>
      <c r="O27" s="3">
        <f>X27/0.69/10000</f>
        <v>0.10536231884057973</v>
      </c>
      <c r="P27" s="3">
        <f t="shared" si="1"/>
        <v>98.919622318840567</v>
      </c>
      <c r="Q27" s="3">
        <v>3.02</v>
      </c>
      <c r="R27" s="3"/>
      <c r="T27" s="3"/>
      <c r="U27" s="3"/>
      <c r="V27" s="3"/>
      <c r="W27" s="3">
        <v>60</v>
      </c>
      <c r="X27" s="3">
        <v>727</v>
      </c>
      <c r="Y27" s="3"/>
      <c r="Z27" s="3"/>
      <c r="AA27" s="3"/>
      <c r="AB27" s="3"/>
      <c r="AC27" s="3"/>
      <c r="AD27" s="3"/>
      <c r="AE27" s="3"/>
      <c r="AF27" s="3">
        <v>1.1000000000000001</v>
      </c>
      <c r="AG27" s="3"/>
      <c r="AH27" s="3"/>
      <c r="AI27" s="3"/>
      <c r="AJ27" s="3"/>
      <c r="AK27" s="3">
        <v>0.22</v>
      </c>
      <c r="AL27" s="3"/>
      <c r="AM27" s="3"/>
      <c r="AN27" s="3"/>
      <c r="AO27" s="3">
        <v>254</v>
      </c>
      <c r="AP27" s="3"/>
      <c r="AQ27" s="3"/>
      <c r="AR27" s="3"/>
      <c r="AS27" s="3"/>
      <c r="AT27" s="3">
        <v>34.9</v>
      </c>
      <c r="AU27" s="3">
        <v>0.90300000000000002</v>
      </c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>
        <v>12.4</v>
      </c>
      <c r="BH27" s="3"/>
      <c r="BI27" s="3"/>
      <c r="BJ27" s="3">
        <v>25.6</v>
      </c>
      <c r="BK27" s="3"/>
      <c r="BL27" s="3"/>
      <c r="BM27" s="3"/>
      <c r="BN27" s="3"/>
      <c r="BO27" s="3"/>
      <c r="BP27" s="3"/>
      <c r="BQ27" s="3"/>
      <c r="BR27" s="3"/>
      <c r="BS27" s="3"/>
      <c r="BT27" s="3">
        <v>0.65847068272468579</v>
      </c>
      <c r="BU27" s="3"/>
    </row>
    <row r="28" spans="1:73" x14ac:dyDescent="0.35">
      <c r="A28" t="s">
        <v>379</v>
      </c>
      <c r="B28" t="s">
        <v>107</v>
      </c>
      <c r="C28" t="s">
        <v>435</v>
      </c>
      <c r="D28" t="s">
        <v>439</v>
      </c>
      <c r="E28" s="3">
        <v>45.08</v>
      </c>
      <c r="F28" s="3">
        <v>0.39</v>
      </c>
      <c r="G28" s="3">
        <v>8</v>
      </c>
      <c r="H28" s="3">
        <v>12.43317</v>
      </c>
      <c r="I28" s="3">
        <v>0.13</v>
      </c>
      <c r="J28" s="3">
        <v>26.1</v>
      </c>
      <c r="K28" s="3">
        <v>6.31</v>
      </c>
      <c r="L28" s="3">
        <v>0.1</v>
      </c>
      <c r="M28" s="3">
        <v>0.04</v>
      </c>
      <c r="N28" s="3">
        <v>0.03</v>
      </c>
      <c r="O28" s="3">
        <v>0.52011499999999999</v>
      </c>
      <c r="P28" s="3">
        <f t="shared" si="1"/>
        <v>99.133285000000015</v>
      </c>
      <c r="Q28" s="3">
        <v>7</v>
      </c>
      <c r="R28" s="3"/>
      <c r="T28" s="3"/>
      <c r="U28" s="3"/>
      <c r="V28" s="3">
        <v>2.4710000000000001</v>
      </c>
      <c r="W28" s="3">
        <v>120</v>
      </c>
      <c r="X28" s="3">
        <v>3587</v>
      </c>
      <c r="Y28" s="3"/>
      <c r="Z28" s="3"/>
      <c r="AA28" s="3"/>
      <c r="AB28" s="3"/>
      <c r="AC28" s="3">
        <v>0.23899999999999999</v>
      </c>
      <c r="AD28" s="3"/>
      <c r="AE28" s="3"/>
      <c r="AF28" s="3">
        <v>0.19</v>
      </c>
      <c r="AG28" s="3"/>
      <c r="AH28" s="3"/>
      <c r="AI28" s="3">
        <v>0.77100000000000002</v>
      </c>
      <c r="AJ28" s="3"/>
      <c r="AK28" s="3">
        <v>0.14499999999999999</v>
      </c>
      <c r="AL28" s="3"/>
      <c r="AM28" s="3"/>
      <c r="AN28" s="3"/>
      <c r="AO28" s="3">
        <v>1537</v>
      </c>
      <c r="AP28" s="3"/>
      <c r="AQ28" s="3"/>
      <c r="AR28" s="3">
        <v>3</v>
      </c>
      <c r="AS28" s="3"/>
      <c r="AT28" s="3">
        <v>26.1</v>
      </c>
      <c r="AU28" s="3">
        <v>0.71799999999999997</v>
      </c>
      <c r="AV28" s="3"/>
      <c r="AW28" s="3">
        <v>5</v>
      </c>
      <c r="AX28" s="3"/>
      <c r="AY28" s="3">
        <v>0.23</v>
      </c>
      <c r="AZ28" s="3"/>
      <c r="BA28" s="3"/>
      <c r="BB28" s="3"/>
      <c r="BC28" s="3"/>
      <c r="BD28" s="3"/>
      <c r="BE28" s="3"/>
      <c r="BF28" s="3"/>
      <c r="BG28" s="3">
        <v>10.1</v>
      </c>
      <c r="BH28" s="3">
        <v>1.008</v>
      </c>
      <c r="BI28" s="3"/>
      <c r="BJ28" s="3">
        <v>19.8</v>
      </c>
      <c r="BK28" s="3"/>
      <c r="BL28" s="3"/>
      <c r="BM28" s="3"/>
      <c r="BN28" s="3"/>
      <c r="BO28" s="3"/>
      <c r="BP28" s="3"/>
      <c r="BQ28" s="3"/>
      <c r="BR28" s="3"/>
      <c r="BS28" s="3"/>
      <c r="BT28" s="3">
        <v>0.79036540464420357</v>
      </c>
      <c r="BU28" s="3"/>
    </row>
    <row r="29" spans="1:73" x14ac:dyDescent="0.35">
      <c r="A29" t="s">
        <v>225</v>
      </c>
      <c r="B29" t="s">
        <v>107</v>
      </c>
      <c r="C29" t="s">
        <v>99</v>
      </c>
      <c r="D29" t="s">
        <v>437</v>
      </c>
      <c r="E29" s="3">
        <v>44.62</v>
      </c>
      <c r="F29" s="3">
        <v>0.3</v>
      </c>
      <c r="G29" s="3">
        <v>5.67</v>
      </c>
      <c r="H29" s="3">
        <v>10.1587</v>
      </c>
      <c r="I29" s="3">
        <v>0.22</v>
      </c>
      <c r="J29" s="3">
        <v>31.24</v>
      </c>
      <c r="K29" s="3">
        <v>6.45</v>
      </c>
      <c r="L29" s="3">
        <v>0.12</v>
      </c>
      <c r="M29" s="3">
        <v>0.04</v>
      </c>
      <c r="N29" s="3">
        <v>0.04</v>
      </c>
      <c r="O29" s="3">
        <v>0.50953000000000004</v>
      </c>
      <c r="P29" s="3">
        <f t="shared" si="1"/>
        <v>99.368230000000011</v>
      </c>
      <c r="Q29" s="3">
        <v>5.12</v>
      </c>
      <c r="R29" s="3"/>
      <c r="T29" s="3"/>
      <c r="U29" s="3"/>
      <c r="V29" s="3">
        <v>2.339</v>
      </c>
      <c r="W29" s="3">
        <v>120</v>
      </c>
      <c r="X29" s="3">
        <v>3514</v>
      </c>
      <c r="Y29" s="3"/>
      <c r="Z29" s="3"/>
      <c r="AA29" s="3"/>
      <c r="AB29" s="3"/>
      <c r="AC29" s="3">
        <v>0.27200000000000002</v>
      </c>
      <c r="AD29" s="3"/>
      <c r="AE29" s="3"/>
      <c r="AF29" s="3" t="s">
        <v>108</v>
      </c>
      <c r="AG29" s="3"/>
      <c r="AH29" s="3"/>
      <c r="AI29" s="3">
        <v>0.747</v>
      </c>
      <c r="AJ29" s="3"/>
      <c r="AK29" s="3">
        <v>0.124</v>
      </c>
      <c r="AL29" s="3"/>
      <c r="AM29" s="3"/>
      <c r="AN29" s="3"/>
      <c r="AO29" s="3">
        <v>1526</v>
      </c>
      <c r="AP29" s="3"/>
      <c r="AQ29" s="3"/>
      <c r="AR29" s="3">
        <v>3</v>
      </c>
      <c r="AS29" s="3"/>
      <c r="AT29" s="3">
        <v>18.8</v>
      </c>
      <c r="AU29" s="3">
        <v>0.58499999999999996</v>
      </c>
      <c r="AV29" s="3"/>
      <c r="AW29" s="3">
        <v>15</v>
      </c>
      <c r="AX29" s="3"/>
      <c r="AY29" s="3">
        <v>0.128</v>
      </c>
      <c r="AZ29" s="3"/>
      <c r="BA29" s="3"/>
      <c r="BB29" s="3"/>
      <c r="BC29" s="3"/>
      <c r="BD29" s="3"/>
      <c r="BE29" s="3"/>
      <c r="BF29" s="3"/>
      <c r="BG29" s="3">
        <v>6.4</v>
      </c>
      <c r="BH29" s="3">
        <v>0.80500000000000005</v>
      </c>
      <c r="BI29" s="3"/>
      <c r="BJ29" s="3">
        <v>15.9</v>
      </c>
      <c r="BK29" s="3"/>
      <c r="BL29" s="3"/>
      <c r="BM29" s="3"/>
      <c r="BN29" s="3"/>
      <c r="BO29" s="3"/>
      <c r="BP29" s="3"/>
      <c r="BQ29" s="3"/>
      <c r="BR29" s="3"/>
      <c r="BS29" s="3"/>
      <c r="BT29" s="3">
        <v>0.84669755442254169</v>
      </c>
      <c r="BU29" s="3"/>
    </row>
    <row r="30" spans="1:73" x14ac:dyDescent="0.35">
      <c r="A30" t="s">
        <v>226</v>
      </c>
      <c r="B30" t="s">
        <v>107</v>
      </c>
      <c r="C30" t="s">
        <v>99</v>
      </c>
      <c r="D30" t="s">
        <v>440</v>
      </c>
      <c r="E30" s="3">
        <v>44.83</v>
      </c>
      <c r="F30" s="3">
        <v>0.25</v>
      </c>
      <c r="G30" s="3">
        <v>4.6100000000000003</v>
      </c>
      <c r="H30" s="3">
        <v>10.6981</v>
      </c>
      <c r="I30" s="3">
        <v>0.19</v>
      </c>
      <c r="J30" s="3">
        <v>33.200000000000003</v>
      </c>
      <c r="K30" s="3">
        <v>4.75</v>
      </c>
      <c r="L30" s="3">
        <v>0.17</v>
      </c>
      <c r="M30" s="3">
        <v>0.04</v>
      </c>
      <c r="N30" s="3">
        <v>0.04</v>
      </c>
      <c r="O30" s="3">
        <v>0.56840000000000002</v>
      </c>
      <c r="P30" s="3">
        <f t="shared" si="1"/>
        <v>99.346500000000006</v>
      </c>
      <c r="Q30" s="3">
        <v>4.05</v>
      </c>
      <c r="R30" s="3"/>
      <c r="T30" s="3"/>
      <c r="U30" s="3"/>
      <c r="V30" s="3" t="s">
        <v>108</v>
      </c>
      <c r="W30" s="3">
        <v>132</v>
      </c>
      <c r="X30" s="3">
        <v>3920</v>
      </c>
      <c r="Y30" s="3"/>
      <c r="Z30" s="3"/>
      <c r="AA30" s="3"/>
      <c r="AB30" s="3"/>
      <c r="AC30" s="3">
        <v>0.24099999999999999</v>
      </c>
      <c r="AD30" s="3"/>
      <c r="AE30" s="3"/>
      <c r="AF30" s="3">
        <v>0.36</v>
      </c>
      <c r="AG30" s="3"/>
      <c r="AH30" s="3"/>
      <c r="AI30" s="3">
        <v>0.75700000000000001</v>
      </c>
      <c r="AJ30" s="3"/>
      <c r="AK30" s="3">
        <v>0.107</v>
      </c>
      <c r="AL30" s="3"/>
      <c r="AM30" s="3"/>
      <c r="AN30" s="3"/>
      <c r="AO30" s="3">
        <v>2295</v>
      </c>
      <c r="AP30" s="3"/>
      <c r="AQ30" s="3"/>
      <c r="AR30" s="3">
        <v>3</v>
      </c>
      <c r="AS30" s="3"/>
      <c r="AT30" s="3">
        <v>20</v>
      </c>
      <c r="AU30" s="3">
        <v>0.501</v>
      </c>
      <c r="AV30" s="3"/>
      <c r="AW30" s="3">
        <v>12</v>
      </c>
      <c r="AX30" s="3"/>
      <c r="AY30" s="3">
        <v>0.126</v>
      </c>
      <c r="AZ30" s="3"/>
      <c r="BA30" s="3"/>
      <c r="BB30" s="3"/>
      <c r="BC30" s="3"/>
      <c r="BD30" s="3"/>
      <c r="BE30" s="3"/>
      <c r="BF30" s="3"/>
      <c r="BG30" s="3">
        <v>5.8</v>
      </c>
      <c r="BH30" s="3">
        <v>0.67300000000000004</v>
      </c>
      <c r="BI30" s="3"/>
      <c r="BJ30" s="3">
        <v>13</v>
      </c>
      <c r="BK30" s="3"/>
      <c r="BL30" s="3"/>
      <c r="BM30" s="3"/>
      <c r="BN30" s="3"/>
      <c r="BO30" s="3"/>
      <c r="BP30" s="3"/>
      <c r="BQ30" s="3"/>
      <c r="BR30" s="3"/>
      <c r="BS30" s="3"/>
      <c r="BT30" s="3">
        <v>0.84787693760282579</v>
      </c>
      <c r="BU30" s="3"/>
    </row>
    <row r="31" spans="1:73" x14ac:dyDescent="0.35">
      <c r="A31" t="s">
        <v>227</v>
      </c>
      <c r="B31" t="s">
        <v>107</v>
      </c>
      <c r="C31" t="s">
        <v>99</v>
      </c>
      <c r="D31" t="s">
        <v>440</v>
      </c>
      <c r="E31" s="3">
        <v>44.36</v>
      </c>
      <c r="F31" s="3">
        <v>0.33</v>
      </c>
      <c r="G31" s="3">
        <v>6.12</v>
      </c>
      <c r="H31" s="3">
        <v>11.01275</v>
      </c>
      <c r="I31" s="3">
        <v>0.19</v>
      </c>
      <c r="J31" s="3">
        <v>31.09</v>
      </c>
      <c r="K31" s="3">
        <v>5.47</v>
      </c>
      <c r="L31" s="3">
        <v>0.1</v>
      </c>
      <c r="M31" s="3">
        <v>0.03</v>
      </c>
      <c r="N31" s="3">
        <v>0.05</v>
      </c>
      <c r="O31" s="3">
        <v>0.72587000000000002</v>
      </c>
      <c r="P31" s="3">
        <f t="shared" si="1"/>
        <v>99.478619999999992</v>
      </c>
      <c r="Q31" s="3">
        <v>7.46</v>
      </c>
      <c r="R31" s="3"/>
      <c r="T31" s="3"/>
      <c r="U31" s="3"/>
      <c r="V31" s="3">
        <v>2.4500000000000002</v>
      </c>
      <c r="W31" s="3">
        <v>121</v>
      </c>
      <c r="X31" s="3">
        <v>5006</v>
      </c>
      <c r="Y31" s="3"/>
      <c r="Z31" s="3"/>
      <c r="AA31" s="3"/>
      <c r="AB31" s="3"/>
      <c r="AC31" s="3">
        <v>0.23699999999999999</v>
      </c>
      <c r="AD31" s="3"/>
      <c r="AE31" s="3"/>
      <c r="AF31" s="3">
        <v>0.36</v>
      </c>
      <c r="AG31" s="3"/>
      <c r="AH31" s="3"/>
      <c r="AI31" s="3">
        <v>0.59699999999999998</v>
      </c>
      <c r="AJ31" s="3"/>
      <c r="AK31" s="3">
        <v>0.14000000000000001</v>
      </c>
      <c r="AL31" s="3"/>
      <c r="AM31" s="3"/>
      <c r="AN31" s="3"/>
      <c r="AO31" s="3">
        <v>1984</v>
      </c>
      <c r="AP31" s="3"/>
      <c r="AQ31" s="3"/>
      <c r="AR31" s="3">
        <v>2</v>
      </c>
      <c r="AS31" s="3"/>
      <c r="AT31" s="3">
        <v>21.2</v>
      </c>
      <c r="AU31" s="3">
        <v>0.65600000000000003</v>
      </c>
      <c r="AV31" s="3"/>
      <c r="AW31" s="3">
        <v>7</v>
      </c>
      <c r="AX31" s="3"/>
      <c r="AY31" s="3">
        <v>0.16200000000000001</v>
      </c>
      <c r="AZ31" s="3"/>
      <c r="BA31" s="3"/>
      <c r="BB31" s="3"/>
      <c r="BC31" s="3"/>
      <c r="BD31" s="3"/>
      <c r="BE31" s="3"/>
      <c r="BF31" s="3"/>
      <c r="BG31" s="3">
        <v>8.1999999999999993</v>
      </c>
      <c r="BH31" s="3">
        <v>0.86399999999999999</v>
      </c>
      <c r="BI31" s="3"/>
      <c r="BJ31" s="3">
        <v>18.100000000000001</v>
      </c>
      <c r="BK31" s="3"/>
      <c r="BL31" s="3"/>
      <c r="BM31" s="3"/>
      <c r="BN31" s="3"/>
      <c r="BO31" s="3"/>
      <c r="BP31" s="3"/>
      <c r="BQ31" s="3"/>
      <c r="BR31" s="3"/>
      <c r="BS31" s="3"/>
      <c r="BT31" s="3">
        <v>0.83526274117473365</v>
      </c>
      <c r="BU31" s="3"/>
    </row>
    <row r="32" spans="1:73" x14ac:dyDescent="0.35"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</row>
    <row r="33" spans="1:73" x14ac:dyDescent="0.35">
      <c r="A33" t="s">
        <v>143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</row>
    <row r="34" spans="1:73" x14ac:dyDescent="0.35">
      <c r="D34" t="s">
        <v>120</v>
      </c>
      <c r="E34" s="3" t="s">
        <v>141</v>
      </c>
      <c r="F34" s="3" t="s">
        <v>141</v>
      </c>
      <c r="G34" s="3" t="s">
        <v>141</v>
      </c>
      <c r="H34" s="3" t="s">
        <v>141</v>
      </c>
      <c r="I34" s="3" t="s">
        <v>141</v>
      </c>
      <c r="J34" s="3" t="s">
        <v>141</v>
      </c>
      <c r="K34" s="3" t="s">
        <v>141</v>
      </c>
      <c r="L34" s="3" t="s">
        <v>141</v>
      </c>
      <c r="M34" s="3" t="s">
        <v>141</v>
      </c>
      <c r="N34" s="3" t="s">
        <v>141</v>
      </c>
      <c r="O34" s="3" t="s">
        <v>141</v>
      </c>
      <c r="P34" s="3"/>
      <c r="Q34" s="3"/>
      <c r="R34" s="3" t="s">
        <v>141</v>
      </c>
      <c r="T34" s="3"/>
      <c r="U34" s="3" t="s">
        <v>141</v>
      </c>
      <c r="V34" s="3" t="s">
        <v>141</v>
      </c>
      <c r="W34" s="3" t="s">
        <v>141</v>
      </c>
      <c r="X34" s="3" t="s">
        <v>141</v>
      </c>
      <c r="Y34" s="3"/>
      <c r="Z34" s="3"/>
      <c r="AA34" s="3"/>
      <c r="AB34" s="3" t="s">
        <v>141</v>
      </c>
      <c r="AC34" s="3" t="s">
        <v>141</v>
      </c>
      <c r="AD34" s="3" t="s">
        <v>141</v>
      </c>
      <c r="AE34" s="3" t="s">
        <v>141</v>
      </c>
      <c r="AF34" s="3" t="s">
        <v>141</v>
      </c>
      <c r="AG34" s="3"/>
      <c r="AH34" s="3"/>
      <c r="AI34" s="3"/>
      <c r="AJ34" s="3"/>
      <c r="AK34" s="3" t="s">
        <v>141</v>
      </c>
      <c r="AL34" s="3" t="s">
        <v>141</v>
      </c>
      <c r="AM34" s="3" t="s">
        <v>141</v>
      </c>
      <c r="AN34" s="3" t="s">
        <v>141</v>
      </c>
      <c r="AO34" s="3" t="s">
        <v>141</v>
      </c>
      <c r="AP34" s="3" t="s">
        <v>141</v>
      </c>
      <c r="AQ34" s="3" t="s">
        <v>141</v>
      </c>
      <c r="AR34" s="3" t="s">
        <v>141</v>
      </c>
      <c r="AS34" s="3"/>
      <c r="AT34" s="3" t="s">
        <v>141</v>
      </c>
      <c r="AU34" s="3" t="s">
        <v>141</v>
      </c>
      <c r="AV34" s="3" t="s">
        <v>141</v>
      </c>
      <c r="AW34" s="3" t="s">
        <v>141</v>
      </c>
      <c r="AX34" s="3" t="s">
        <v>141</v>
      </c>
      <c r="AY34" s="3" t="s">
        <v>141</v>
      </c>
      <c r="AZ34" s="3" t="s">
        <v>141</v>
      </c>
      <c r="BA34" s="3" t="s">
        <v>141</v>
      </c>
      <c r="BB34" s="3" t="s">
        <v>141</v>
      </c>
      <c r="BC34" s="3" t="s">
        <v>141</v>
      </c>
      <c r="BD34" s="3"/>
      <c r="BE34" s="3" t="s">
        <v>141</v>
      </c>
      <c r="BF34" s="3"/>
      <c r="BG34" s="3" t="s">
        <v>141</v>
      </c>
      <c r="BH34" s="3" t="s">
        <v>141</v>
      </c>
      <c r="BI34" s="3" t="s">
        <v>141</v>
      </c>
      <c r="BJ34" s="3" t="s">
        <v>141</v>
      </c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</row>
    <row r="35" spans="1:73" x14ac:dyDescent="0.35">
      <c r="A35">
        <v>5004</v>
      </c>
      <c r="B35" t="s">
        <v>107</v>
      </c>
      <c r="C35" t="s">
        <v>99</v>
      </c>
      <c r="D35" t="s">
        <v>437</v>
      </c>
      <c r="E35" s="3">
        <v>44.278585479999997</v>
      </c>
      <c r="F35" s="3">
        <v>0.240563375</v>
      </c>
      <c r="G35" s="3">
        <v>5.0448648010000001</v>
      </c>
      <c r="H35" s="3">
        <v>12.78186651</v>
      </c>
      <c r="I35" s="3">
        <v>0.206779562</v>
      </c>
      <c r="J35" s="3">
        <v>32.209505120000003</v>
      </c>
      <c r="K35" s="3">
        <v>4.2621350360000001</v>
      </c>
      <c r="L35" s="3">
        <v>8.6240686999999996E-2</v>
      </c>
      <c r="M35" s="3">
        <v>6.5964498999999996E-2</v>
      </c>
      <c r="N35" s="3">
        <v>2.6539678000000001E-2</v>
      </c>
      <c r="O35" s="3">
        <v>0.93753838199999995</v>
      </c>
      <c r="P35" s="3">
        <f t="shared" si="0"/>
        <v>100.14058313000001</v>
      </c>
      <c r="Q35" s="3"/>
      <c r="R35" s="3">
        <v>4.7629724070000004</v>
      </c>
      <c r="T35" s="3"/>
      <c r="U35" s="3"/>
      <c r="V35" s="3">
        <v>1.4925465280000001</v>
      </c>
      <c r="W35" s="3">
        <v>166.11594310000001</v>
      </c>
      <c r="X35" s="3">
        <v>6412.7112319999997</v>
      </c>
      <c r="Y35" s="3"/>
      <c r="Z35" s="3"/>
      <c r="AA35" s="3"/>
      <c r="AB35" s="3">
        <v>0.74495867100000002</v>
      </c>
      <c r="AC35" s="3">
        <v>0.194266256</v>
      </c>
      <c r="AD35" s="3">
        <v>5.8666425919999998</v>
      </c>
      <c r="AE35" s="3">
        <v>0.77666350799999995</v>
      </c>
      <c r="AF35" s="3">
        <v>0.38007497899999998</v>
      </c>
      <c r="AG35" s="3"/>
      <c r="AH35" s="3"/>
      <c r="AI35" s="3"/>
      <c r="AJ35" s="3"/>
      <c r="AK35" s="3">
        <v>0.10331607199999999</v>
      </c>
      <c r="AL35" s="3">
        <v>1601.7007160000001</v>
      </c>
      <c r="AM35" s="3">
        <v>0.367680224</v>
      </c>
      <c r="AN35" s="3">
        <v>1.32354555</v>
      </c>
      <c r="AO35" s="3">
        <v>1337.4239729999999</v>
      </c>
      <c r="AP35" s="3"/>
      <c r="AQ35" s="3"/>
      <c r="AR35" s="3"/>
      <c r="AS35" s="3"/>
      <c r="AT35" s="3">
        <v>21.66</v>
      </c>
      <c r="AU35" s="3">
        <v>0.52130244999999997</v>
      </c>
      <c r="AV35" s="3"/>
      <c r="AW35" s="3">
        <v>6.0158788510000001</v>
      </c>
      <c r="AX35" s="3">
        <v>2.1946502E-2</v>
      </c>
      <c r="AY35" s="3"/>
      <c r="AZ35" s="3"/>
      <c r="BA35" s="3">
        <v>1441.3623439999999</v>
      </c>
      <c r="BB35" s="3"/>
      <c r="BC35" s="3"/>
      <c r="BD35" s="3"/>
      <c r="BE35" s="3">
        <v>140.79568119999999</v>
      </c>
      <c r="BF35" s="3"/>
      <c r="BG35" s="3"/>
      <c r="BH35" s="3"/>
      <c r="BI35" s="3">
        <v>96.594377510000001</v>
      </c>
      <c r="BJ35" s="3">
        <v>12.39338461</v>
      </c>
      <c r="BK35" s="3"/>
      <c r="BL35" s="3"/>
      <c r="BM35" s="3"/>
      <c r="BN35" s="3"/>
      <c r="BO35" s="3"/>
      <c r="BP35" s="3"/>
      <c r="BQ35" s="3"/>
      <c r="BR35" s="3"/>
      <c r="BS35" s="3"/>
      <c r="BT35" s="3">
        <v>0.81903098414883813</v>
      </c>
      <c r="BU35" s="3"/>
    </row>
    <row r="36" spans="1:73" x14ac:dyDescent="0.35">
      <c r="A36">
        <v>5008</v>
      </c>
      <c r="B36" t="s">
        <v>107</v>
      </c>
      <c r="C36" t="s">
        <v>99</v>
      </c>
      <c r="D36" t="s">
        <v>373</v>
      </c>
      <c r="E36" s="3">
        <v>46.640180899999997</v>
      </c>
      <c r="F36" s="3">
        <v>0.16520753099999999</v>
      </c>
      <c r="G36" s="3">
        <v>4.8880331909999999</v>
      </c>
      <c r="H36" s="3">
        <v>7.0251937990000002</v>
      </c>
      <c r="I36" s="3">
        <v>0.18616606599999999</v>
      </c>
      <c r="J36" s="3">
        <v>38.476939639999998</v>
      </c>
      <c r="K36" s="3">
        <v>1.4353669819999999</v>
      </c>
      <c r="L36" s="3">
        <v>5.3684625E-2</v>
      </c>
      <c r="M36" s="3">
        <v>8.1175649000000002E-2</v>
      </c>
      <c r="N36" s="3">
        <v>3.2184965000000003E-2</v>
      </c>
      <c r="O36" s="3">
        <v>0.30600261000000001</v>
      </c>
      <c r="P36" s="3">
        <f t="shared" si="0"/>
        <v>99.290135957999993</v>
      </c>
      <c r="Q36" s="3"/>
      <c r="R36" s="3">
        <v>3.1144024909999999</v>
      </c>
      <c r="T36" s="3"/>
      <c r="U36" s="3">
        <v>0.03</v>
      </c>
      <c r="V36" s="3">
        <v>1.0471197029999999</v>
      </c>
      <c r="W36" s="3">
        <v>123.86296780000001</v>
      </c>
      <c r="X36" s="3">
        <v>2093.0411060000001</v>
      </c>
      <c r="Y36" s="3"/>
      <c r="Z36" s="3">
        <v>26.900585790000001</v>
      </c>
      <c r="AA36" s="3">
        <v>0.48</v>
      </c>
      <c r="AB36" s="3">
        <v>0.31715804399999997</v>
      </c>
      <c r="AC36" s="3">
        <v>0.155317124</v>
      </c>
      <c r="AD36" s="3">
        <v>5.3397968139999996</v>
      </c>
      <c r="AE36" s="3">
        <v>0.39763226499999998</v>
      </c>
      <c r="AF36" s="3">
        <v>0.30801265999999999</v>
      </c>
      <c r="AG36" s="3">
        <v>0.101779974</v>
      </c>
      <c r="AH36" s="3"/>
      <c r="AI36" s="3">
        <v>0.432357196</v>
      </c>
      <c r="AJ36" s="3"/>
      <c r="AK36" s="3">
        <v>4.6645111000000003E-2</v>
      </c>
      <c r="AL36" s="3">
        <v>0.252379556</v>
      </c>
      <c r="AM36" s="3">
        <v>0.32965781500000002</v>
      </c>
      <c r="AN36" s="3"/>
      <c r="AO36" s="3">
        <v>2281.8241520000001</v>
      </c>
      <c r="AP36" s="3"/>
      <c r="AQ36" s="3">
        <v>0.150189831</v>
      </c>
      <c r="AR36" s="3">
        <v>3.6703715419999998</v>
      </c>
      <c r="AS36" s="3"/>
      <c r="AT36" s="3">
        <v>15.07</v>
      </c>
      <c r="AU36" s="3">
        <v>0.315068077</v>
      </c>
      <c r="AV36" s="3"/>
      <c r="AW36" s="3">
        <v>5.6016497349999996</v>
      </c>
      <c r="AX36" s="3">
        <v>2.5793244E-2</v>
      </c>
      <c r="AY36" s="3">
        <v>6.6554258000000005E-2</v>
      </c>
      <c r="AZ36" s="3">
        <v>0.13213035000000001</v>
      </c>
      <c r="BA36" s="3">
        <v>989.85938390000001</v>
      </c>
      <c r="BB36" s="3">
        <v>6.7166723999999997E-2</v>
      </c>
      <c r="BC36" s="3">
        <v>4.8276464999999998E-2</v>
      </c>
      <c r="BD36" s="3"/>
      <c r="BE36" s="3">
        <v>60.32</v>
      </c>
      <c r="BF36" s="3"/>
      <c r="BG36" s="3">
        <v>2.6466539600000001</v>
      </c>
      <c r="BH36" s="3">
        <v>0.35242626199999999</v>
      </c>
      <c r="BI36" s="3">
        <v>104.06288739999999</v>
      </c>
      <c r="BJ36" s="3">
        <v>10.284675590000001</v>
      </c>
      <c r="BK36" s="3"/>
      <c r="BL36" s="3"/>
      <c r="BM36" s="3"/>
      <c r="BN36" s="3"/>
      <c r="BO36" s="3"/>
      <c r="BP36" s="3"/>
      <c r="BQ36" s="3"/>
      <c r="BR36" s="3"/>
      <c r="BS36" s="3"/>
      <c r="BT36" s="3">
        <v>0.90772081517083714</v>
      </c>
      <c r="BU36" s="3"/>
    </row>
    <row r="37" spans="1:73" x14ac:dyDescent="0.35">
      <c r="A37">
        <v>5014</v>
      </c>
      <c r="B37" t="s">
        <v>107</v>
      </c>
      <c r="C37" t="s">
        <v>99</v>
      </c>
      <c r="D37" t="s">
        <v>437</v>
      </c>
      <c r="E37" s="3">
        <v>47.783373249999997</v>
      </c>
      <c r="F37" s="3">
        <v>0.37677205400000002</v>
      </c>
      <c r="G37" s="3">
        <v>6.1029403550000003</v>
      </c>
      <c r="H37" s="3">
        <v>12.05726512</v>
      </c>
      <c r="I37" s="3">
        <v>0.166173815</v>
      </c>
      <c r="J37" s="3">
        <v>26.915882180000001</v>
      </c>
      <c r="K37" s="3">
        <v>6.8724769300000004</v>
      </c>
      <c r="L37" s="3">
        <v>0.15900898499999999</v>
      </c>
      <c r="M37" s="3">
        <v>6.1492985E-2</v>
      </c>
      <c r="N37" s="3">
        <v>4.4072041999999999E-2</v>
      </c>
      <c r="O37" s="3">
        <v>0.38984899299999998</v>
      </c>
      <c r="P37" s="3">
        <f t="shared" si="0"/>
        <v>100.92930670899999</v>
      </c>
      <c r="Q37" s="3"/>
      <c r="R37" s="3">
        <v>9.2245984029999999</v>
      </c>
      <c r="T37" s="3"/>
      <c r="U37" s="3"/>
      <c r="V37" s="3">
        <v>2.4409362830000001</v>
      </c>
      <c r="W37" s="3">
        <v>141.96729329999999</v>
      </c>
      <c r="X37" s="3">
        <v>2688.6137480000002</v>
      </c>
      <c r="Y37" s="3"/>
      <c r="Z37" s="3"/>
      <c r="AA37" s="3"/>
      <c r="AB37" s="3">
        <v>1.022384298</v>
      </c>
      <c r="AC37" s="3">
        <v>0.302041797</v>
      </c>
      <c r="AD37" s="3">
        <v>6.3162717500000003</v>
      </c>
      <c r="AE37" s="3">
        <v>1.1745106839999999</v>
      </c>
      <c r="AF37" s="3">
        <v>0.56456751900000002</v>
      </c>
      <c r="AG37" s="3"/>
      <c r="AH37" s="3"/>
      <c r="AI37" s="3"/>
      <c r="AJ37" s="3"/>
      <c r="AK37" s="3">
        <v>0.13336770000000001</v>
      </c>
      <c r="AL37" s="3"/>
      <c r="AM37" s="3">
        <v>0.612577975</v>
      </c>
      <c r="AN37" s="3">
        <v>2.1742834019999999</v>
      </c>
      <c r="AO37" s="3">
        <v>988.30681300000003</v>
      </c>
      <c r="AP37" s="3"/>
      <c r="AQ37" s="3"/>
      <c r="AR37" s="3"/>
      <c r="AS37" s="3"/>
      <c r="AT37" s="3">
        <v>29.32</v>
      </c>
      <c r="AU37" s="3">
        <v>0.80614214399999995</v>
      </c>
      <c r="AV37" s="3"/>
      <c r="AW37" s="3">
        <v>10.68418275</v>
      </c>
      <c r="AX37" s="3">
        <v>3.5349403000000001E-2</v>
      </c>
      <c r="AY37" s="3"/>
      <c r="AZ37" s="3"/>
      <c r="BA37" s="3"/>
      <c r="BB37" s="3"/>
      <c r="BC37" s="3"/>
      <c r="BD37" s="3"/>
      <c r="BE37" s="3">
        <v>168.5243892</v>
      </c>
      <c r="BF37" s="3"/>
      <c r="BG37" s="3"/>
      <c r="BH37" s="3"/>
      <c r="BI37" s="3">
        <v>80.778408659999997</v>
      </c>
      <c r="BJ37" s="3">
        <v>19.387117870000001</v>
      </c>
      <c r="BK37" s="3"/>
      <c r="BL37" s="3"/>
      <c r="BM37" s="3"/>
      <c r="BN37" s="3"/>
      <c r="BO37" s="3"/>
      <c r="BP37" s="3"/>
      <c r="BQ37" s="3"/>
      <c r="BR37" s="3"/>
      <c r="BS37" s="3"/>
      <c r="BT37" s="3">
        <v>0.8003704214188464</v>
      </c>
      <c r="BU37" s="3"/>
    </row>
  </sheetData>
  <sortState ref="A25:BT31">
    <sortCondition ref="A2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0F2B7-4C38-43D1-8FD7-64292955BC71}">
  <dimension ref="A1:AM61"/>
  <sheetViews>
    <sheetView zoomScale="84" zoomScaleNormal="84" workbookViewId="0">
      <pane xSplit="1" ySplit="5" topLeftCell="B6" activePane="bottomRight" state="frozen"/>
      <selection pane="topRight" activeCell="B1" sqref="B1"/>
      <selection pane="bottomLeft" activeCell="A3" sqref="A3"/>
      <selection pane="bottomRight" activeCell="B6" sqref="B6"/>
    </sheetView>
  </sheetViews>
  <sheetFormatPr defaultRowHeight="14.5" x14ac:dyDescent="0.35"/>
  <cols>
    <col min="1" max="1" width="13.453125" bestFit="1" customWidth="1"/>
    <col min="2" max="3" width="8.81640625" bestFit="1" customWidth="1"/>
    <col min="4" max="4" width="10.1796875" bestFit="1" customWidth="1"/>
    <col min="5" max="5" width="8.81640625" bestFit="1" customWidth="1"/>
    <col min="6" max="6" width="10.1796875" bestFit="1" customWidth="1"/>
    <col min="7" max="10" width="8.81640625" bestFit="1" customWidth="1"/>
    <col min="11" max="11" width="10.1796875" bestFit="1" customWidth="1"/>
    <col min="12" max="12" width="8.81640625" bestFit="1" customWidth="1"/>
    <col min="13" max="13" width="10.1796875" bestFit="1" customWidth="1"/>
    <col min="14" max="14" width="8.81640625" bestFit="1" customWidth="1"/>
    <col min="15" max="16" width="10.1796875" bestFit="1" customWidth="1"/>
    <col min="17" max="18" width="8.81640625" bestFit="1" customWidth="1"/>
    <col min="19" max="23" width="8.90625" bestFit="1" customWidth="1"/>
    <col min="24" max="24" width="10.81640625" bestFit="1" customWidth="1"/>
    <col min="25" max="25" width="11.81640625" bestFit="1" customWidth="1"/>
    <col min="26" max="33" width="8.90625" bestFit="1" customWidth="1"/>
    <col min="34" max="34" width="9" bestFit="1" customWidth="1"/>
    <col min="35" max="35" width="10.36328125" bestFit="1" customWidth="1"/>
    <col min="36" max="36" width="9.36328125" bestFit="1" customWidth="1"/>
    <col min="37" max="38" width="8.90625" bestFit="1" customWidth="1"/>
  </cols>
  <sheetData>
    <row r="1" spans="1:39" ht="15.5" x14ac:dyDescent="0.35">
      <c r="A1" s="2" t="s">
        <v>451</v>
      </c>
      <c r="B1" s="2"/>
      <c r="D1" s="44" t="s">
        <v>445</v>
      </c>
      <c r="E1" s="2"/>
      <c r="F1" s="2"/>
    </row>
    <row r="2" spans="1:39" x14ac:dyDescent="0.35">
      <c r="A2" t="s">
        <v>381</v>
      </c>
      <c r="B2" t="s">
        <v>399</v>
      </c>
    </row>
    <row r="4" spans="1:39" x14ac:dyDescent="0.35">
      <c r="A4" s="24"/>
      <c r="B4" s="24" t="s">
        <v>238</v>
      </c>
      <c r="C4" s="24" t="s">
        <v>239</v>
      </c>
      <c r="D4" s="24" t="s">
        <v>240</v>
      </c>
      <c r="E4" s="24" t="s">
        <v>241</v>
      </c>
      <c r="F4" s="24" t="s">
        <v>242</v>
      </c>
      <c r="G4" s="24" t="s">
        <v>243</v>
      </c>
      <c r="H4" s="24" t="s">
        <v>244</v>
      </c>
      <c r="I4" s="24" t="s">
        <v>245</v>
      </c>
      <c r="J4" s="24" t="s">
        <v>246</v>
      </c>
      <c r="K4" s="24" t="s">
        <v>247</v>
      </c>
      <c r="L4" s="24" t="s">
        <v>248</v>
      </c>
      <c r="M4" s="24" t="s">
        <v>249</v>
      </c>
      <c r="N4" s="24" t="s">
        <v>250</v>
      </c>
      <c r="O4" s="24" t="s">
        <v>251</v>
      </c>
      <c r="P4" s="24" t="s">
        <v>252</v>
      </c>
      <c r="Q4" s="24" t="s">
        <v>253</v>
      </c>
      <c r="R4" s="24" t="s">
        <v>254</v>
      </c>
      <c r="S4" s="24" t="s">
        <v>255</v>
      </c>
      <c r="T4" s="24" t="s">
        <v>256</v>
      </c>
      <c r="U4" s="24" t="s">
        <v>257</v>
      </c>
      <c r="V4" s="24" t="s">
        <v>258</v>
      </c>
      <c r="W4" s="24" t="s">
        <v>259</v>
      </c>
      <c r="X4" s="24" t="s">
        <v>260</v>
      </c>
      <c r="Y4" s="24" t="s">
        <v>261</v>
      </c>
      <c r="Z4" s="24" t="s">
        <v>262</v>
      </c>
      <c r="AA4" s="24" t="s">
        <v>263</v>
      </c>
      <c r="AB4" s="24" t="s">
        <v>264</v>
      </c>
      <c r="AC4" s="24" t="s">
        <v>265</v>
      </c>
      <c r="AD4" s="24" t="s">
        <v>266</v>
      </c>
      <c r="AE4" s="24" t="s">
        <v>267</v>
      </c>
      <c r="AF4" s="24" t="s">
        <v>268</v>
      </c>
      <c r="AG4" s="24" t="s">
        <v>269</v>
      </c>
      <c r="AH4" s="24" t="s">
        <v>270</v>
      </c>
      <c r="AI4" s="24" t="s">
        <v>271</v>
      </c>
      <c r="AJ4" s="24" t="s">
        <v>272</v>
      </c>
      <c r="AK4" s="24" t="s">
        <v>273</v>
      </c>
      <c r="AL4" s="24" t="s">
        <v>274</v>
      </c>
      <c r="AM4" s="25"/>
    </row>
    <row r="5" spans="1:39" x14ac:dyDescent="0.35">
      <c r="A5" s="10" t="s">
        <v>210</v>
      </c>
      <c r="B5" s="10"/>
      <c r="C5" s="10"/>
      <c r="D5" s="10"/>
      <c r="E5" s="10"/>
      <c r="F5" s="10"/>
      <c r="G5" s="10"/>
      <c r="H5" s="10" t="s">
        <v>416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 t="s">
        <v>417</v>
      </c>
      <c r="Y5" s="10" t="s">
        <v>417</v>
      </c>
      <c r="Z5" s="10" t="s">
        <v>418</v>
      </c>
      <c r="AA5" s="10" t="s">
        <v>297</v>
      </c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25"/>
    </row>
    <row r="6" spans="1:39" x14ac:dyDescent="0.35">
      <c r="A6" s="8" t="s">
        <v>275</v>
      </c>
      <c r="B6" s="10" t="s">
        <v>276</v>
      </c>
      <c r="C6" s="10" t="s">
        <v>276</v>
      </c>
      <c r="D6" s="10" t="s">
        <v>276</v>
      </c>
      <c r="E6" s="10" t="s">
        <v>276</v>
      </c>
      <c r="F6" s="10"/>
      <c r="G6" s="10" t="s">
        <v>276</v>
      </c>
      <c r="H6" s="10" t="s">
        <v>276</v>
      </c>
      <c r="I6" s="10" t="s">
        <v>276</v>
      </c>
      <c r="J6" s="10" t="s">
        <v>276</v>
      </c>
      <c r="K6" s="10" t="s">
        <v>276</v>
      </c>
      <c r="L6" s="10" t="s">
        <v>276</v>
      </c>
      <c r="M6" s="10" t="s">
        <v>276</v>
      </c>
      <c r="N6" s="10" t="s">
        <v>276</v>
      </c>
      <c r="O6" s="10" t="s">
        <v>276</v>
      </c>
      <c r="P6" s="10" t="s">
        <v>276</v>
      </c>
      <c r="Q6" s="10" t="s">
        <v>276</v>
      </c>
      <c r="R6" s="10" t="s">
        <v>276</v>
      </c>
      <c r="S6" s="10" t="s">
        <v>276</v>
      </c>
      <c r="T6" s="10" t="s">
        <v>276</v>
      </c>
      <c r="U6" s="10" t="s">
        <v>276</v>
      </c>
      <c r="V6" s="10" t="s">
        <v>276</v>
      </c>
      <c r="W6" s="10" t="s">
        <v>276</v>
      </c>
      <c r="X6" s="10"/>
      <c r="Y6" s="10"/>
      <c r="Z6" s="10"/>
      <c r="AA6" s="10"/>
      <c r="AB6" s="10" t="s">
        <v>276</v>
      </c>
      <c r="AC6" s="10" t="s">
        <v>276</v>
      </c>
      <c r="AD6" s="10" t="s">
        <v>276</v>
      </c>
      <c r="AE6" s="10" t="s">
        <v>276</v>
      </c>
      <c r="AF6" s="10" t="s">
        <v>276</v>
      </c>
      <c r="AG6" s="10" t="s">
        <v>276</v>
      </c>
      <c r="AH6" s="10" t="s">
        <v>276</v>
      </c>
      <c r="AI6" s="10"/>
      <c r="AJ6" s="10"/>
      <c r="AK6" s="10"/>
      <c r="AL6" s="10"/>
      <c r="AM6" s="25"/>
    </row>
    <row r="7" spans="1:39" x14ac:dyDescent="0.35">
      <c r="A7" s="10" t="s">
        <v>299</v>
      </c>
      <c r="B7" s="26">
        <v>21106.400000000001</v>
      </c>
      <c r="C7" s="26">
        <v>68803.399999999994</v>
      </c>
      <c r="D7" s="10">
        <v>251013</v>
      </c>
      <c r="E7" s="10">
        <v>70</v>
      </c>
      <c r="F7" s="10" t="s">
        <v>278</v>
      </c>
      <c r="G7" s="26">
        <v>52887.4</v>
      </c>
      <c r="H7" s="10">
        <v>530</v>
      </c>
      <c r="I7" s="10">
        <v>449.51100000000002</v>
      </c>
      <c r="J7" s="10">
        <v>440</v>
      </c>
      <c r="K7" s="10">
        <v>400</v>
      </c>
      <c r="L7" s="10">
        <v>590</v>
      </c>
      <c r="M7" s="10">
        <v>98718</v>
      </c>
      <c r="N7" s="10">
        <v>380</v>
      </c>
      <c r="O7" s="10">
        <v>440</v>
      </c>
      <c r="P7" s="10">
        <v>380</v>
      </c>
      <c r="Q7" s="10">
        <v>460</v>
      </c>
      <c r="R7" s="10">
        <v>490</v>
      </c>
      <c r="S7" s="10">
        <v>320</v>
      </c>
      <c r="T7" s="10">
        <v>410</v>
      </c>
      <c r="U7" s="10">
        <v>410</v>
      </c>
      <c r="V7" s="10">
        <v>420</v>
      </c>
      <c r="W7" s="10">
        <v>390</v>
      </c>
      <c r="X7" s="10" t="s">
        <v>278</v>
      </c>
      <c r="Y7" s="10" t="s">
        <v>278</v>
      </c>
      <c r="Z7" s="10" t="s">
        <v>278</v>
      </c>
      <c r="AA7" s="10" t="s">
        <v>278</v>
      </c>
      <c r="AB7" s="10">
        <v>160</v>
      </c>
      <c r="AC7" s="10">
        <v>370</v>
      </c>
      <c r="AD7" s="10">
        <v>280</v>
      </c>
      <c r="AE7" s="10">
        <v>395</v>
      </c>
      <c r="AF7" s="10">
        <v>390</v>
      </c>
      <c r="AG7" s="10">
        <v>430</v>
      </c>
      <c r="AH7" s="10">
        <v>78.900000000000006</v>
      </c>
      <c r="AI7" s="10" t="s">
        <v>278</v>
      </c>
      <c r="AJ7" s="10">
        <v>120</v>
      </c>
      <c r="AK7" s="10">
        <v>30</v>
      </c>
      <c r="AL7" s="10">
        <v>7</v>
      </c>
    </row>
    <row r="8" spans="1:39" x14ac:dyDescent="0.35">
      <c r="A8" s="10" t="s">
        <v>400</v>
      </c>
      <c r="B8" s="26">
        <v>21106.478444864701</v>
      </c>
      <c r="C8" s="26">
        <v>68803.757755384358</v>
      </c>
      <c r="D8" s="10">
        <v>251012.2995136118</v>
      </c>
      <c r="E8" s="10">
        <v>69.996299732201095</v>
      </c>
      <c r="F8" s="10">
        <v>447.75828732317063</v>
      </c>
      <c r="G8" s="26">
        <v>52887.685573096867</v>
      </c>
      <c r="H8" s="10">
        <v>530.00397160449586</v>
      </c>
      <c r="I8" s="10">
        <v>449.51336309146984</v>
      </c>
      <c r="J8" s="10">
        <v>439.99998512321946</v>
      </c>
      <c r="K8" s="10">
        <v>399.99940745120597</v>
      </c>
      <c r="L8" s="10">
        <v>589.99888443633961</v>
      </c>
      <c r="M8" s="10" t="s">
        <v>279</v>
      </c>
      <c r="N8" s="10">
        <v>380.00003585881518</v>
      </c>
      <c r="O8" s="10">
        <v>439.99977054650634</v>
      </c>
      <c r="P8" s="10">
        <v>380.00219790847319</v>
      </c>
      <c r="Q8" s="10">
        <v>459.99520907083996</v>
      </c>
      <c r="R8" s="10">
        <v>489.99845892879421</v>
      </c>
      <c r="S8" s="10">
        <v>320.00077785801057</v>
      </c>
      <c r="T8" s="10">
        <v>410.00077473027659</v>
      </c>
      <c r="U8" s="10">
        <v>410.00031759148897</v>
      </c>
      <c r="V8" s="10">
        <v>420.00049011476995</v>
      </c>
      <c r="W8" s="10">
        <v>390.00079130304402</v>
      </c>
      <c r="X8" s="10">
        <v>7.9124046130511341E-2</v>
      </c>
      <c r="Y8" s="10">
        <v>4.7294265327785636</v>
      </c>
      <c r="Z8" s="10">
        <v>44.091910422562023</v>
      </c>
      <c r="AA8" s="10">
        <f>157.82099934879-AB8*0.038</f>
        <v>151.74118171846831</v>
      </c>
      <c r="AB8" s="10">
        <v>159.99520079793939</v>
      </c>
      <c r="AC8" s="10">
        <v>370.00171449529256</v>
      </c>
      <c r="AD8" s="10">
        <v>280.00106095014155</v>
      </c>
      <c r="AE8" s="10">
        <v>395.00010459665179</v>
      </c>
      <c r="AF8" s="10">
        <v>389.99992685643366</v>
      </c>
      <c r="AG8" s="10">
        <v>430.00062764689903</v>
      </c>
      <c r="AH8" s="10">
        <v>98.715929465701265</v>
      </c>
      <c r="AI8" s="10">
        <v>1.2285418802392643E-2</v>
      </c>
      <c r="AJ8" s="46">
        <v>27.784228238177057</v>
      </c>
      <c r="AK8" s="10">
        <v>18.095831765896481</v>
      </c>
      <c r="AL8" s="10">
        <v>8.158086774232828</v>
      </c>
    </row>
    <row r="9" spans="1:39" x14ac:dyDescent="0.35">
      <c r="A9" s="10" t="s">
        <v>401</v>
      </c>
      <c r="B9" s="13">
        <v>3.716638777769883E-4</v>
      </c>
      <c r="C9" s="13">
        <v>5.1996759515413743E-4</v>
      </c>
      <c r="D9" s="13">
        <v>-2.7906378880894196E-4</v>
      </c>
      <c r="E9" s="13">
        <v>-5.286096855578697E-3</v>
      </c>
      <c r="F9" s="13"/>
      <c r="G9" s="13">
        <v>5.3996433340615401E-4</v>
      </c>
      <c r="H9" s="13">
        <v>7.4935933884142216E-4</v>
      </c>
      <c r="I9" s="13">
        <v>5.2570270133932002E-4</v>
      </c>
      <c r="J9" s="13">
        <v>-3.3810864863426104E-6</v>
      </c>
      <c r="K9" s="13">
        <v>-1.4813719850792495E-4</v>
      </c>
      <c r="L9" s="13">
        <v>-1.8907858650706304E-4</v>
      </c>
      <c r="M9" s="13"/>
      <c r="N9" s="13">
        <v>9.436530310842117E-6</v>
      </c>
      <c r="O9" s="13">
        <v>-5.2148521286260973E-5</v>
      </c>
      <c r="P9" s="13">
        <v>5.7839696662959365E-4</v>
      </c>
      <c r="Q9" s="13">
        <v>-1.0415063391386193E-3</v>
      </c>
      <c r="R9" s="13">
        <v>-3.1450432771282293E-4</v>
      </c>
      <c r="S9" s="13">
        <v>2.4308062830158406E-4</v>
      </c>
      <c r="T9" s="13">
        <v>1.889586040461592E-4</v>
      </c>
      <c r="U9" s="13">
        <v>7.74613387720154E-5</v>
      </c>
      <c r="V9" s="13">
        <v>1.1669399284420208E-4</v>
      </c>
      <c r="W9" s="13">
        <v>2.0289821641665933E-4</v>
      </c>
      <c r="X9" s="13"/>
      <c r="Y9" s="13" t="s">
        <v>300</v>
      </c>
      <c r="Z9" s="13"/>
      <c r="AA9" s="13"/>
      <c r="AB9" s="13">
        <v>-2.9995012878814009E-3</v>
      </c>
      <c r="AC9" s="13">
        <v>4.6337710609743613E-4</v>
      </c>
      <c r="AD9" s="13">
        <v>3.7891076483934484E-4</v>
      </c>
      <c r="AE9" s="13">
        <v>2.648016501138321E-5</v>
      </c>
      <c r="AF9" s="13">
        <v>-1.8754760599921821E-5</v>
      </c>
      <c r="AG9" s="13">
        <v>1.4596439512409466E-4</v>
      </c>
      <c r="AH9" s="13">
        <v>25.115246471104257</v>
      </c>
      <c r="AI9" s="13"/>
      <c r="AJ9" s="13">
        <v>-76.84647646818577</v>
      </c>
      <c r="AK9" s="13">
        <v>-39.680560780345061</v>
      </c>
      <c r="AL9" s="13">
        <v>16.544096774754685</v>
      </c>
    </row>
    <row r="10" spans="1:39" x14ac:dyDescent="0.35">
      <c r="A10" s="13" t="s">
        <v>296</v>
      </c>
      <c r="B10" s="13">
        <v>2.8291141814217144E-2</v>
      </c>
      <c r="C10" s="13">
        <v>2.4818308807751155E-2</v>
      </c>
      <c r="D10" s="13">
        <v>1.5379764921129481E-2</v>
      </c>
      <c r="E10" s="13">
        <v>0.13903976695983691</v>
      </c>
      <c r="F10" s="13">
        <v>24.302964970684272</v>
      </c>
      <c r="G10" s="13">
        <v>1.7929957844792163E-2</v>
      </c>
      <c r="H10" s="13">
        <v>2.0107982441805686E-2</v>
      </c>
      <c r="I10" s="13">
        <v>1.6747062715000611E-2</v>
      </c>
      <c r="J10" s="13">
        <v>9.5019007336653825E-3</v>
      </c>
      <c r="K10" s="13">
        <v>2.3333323097513355E-2</v>
      </c>
      <c r="L10" s="13">
        <v>2.4940787933275033E-2</v>
      </c>
      <c r="M10" s="13"/>
      <c r="N10" s="13">
        <v>1.0632754875180938E-2</v>
      </c>
      <c r="O10" s="13">
        <v>3.0214913180265112E-3</v>
      </c>
      <c r="P10" s="13">
        <v>2.4998481803983643E-2</v>
      </c>
      <c r="Q10" s="13">
        <v>3.88250292899966E-2</v>
      </c>
      <c r="R10" s="13">
        <v>2.2914505468347487E-2</v>
      </c>
      <c r="S10" s="13">
        <v>8.1771683208431509E-3</v>
      </c>
      <c r="T10" s="13">
        <v>1.7266826823174264E-2</v>
      </c>
      <c r="U10" s="13">
        <v>1.1051328385942095E-2</v>
      </c>
      <c r="V10" s="13">
        <v>8.870372451182159E-3</v>
      </c>
      <c r="W10" s="13">
        <v>1.6364857064362991E-2</v>
      </c>
      <c r="X10" s="13">
        <v>48.884192479732206</v>
      </c>
      <c r="Y10" s="13">
        <v>8.8748710571200977</v>
      </c>
      <c r="Z10" s="13">
        <v>17.10976857838947</v>
      </c>
      <c r="AA10" s="13">
        <v>17.498782827964092</v>
      </c>
      <c r="AB10" s="13">
        <v>5.8059586252910772E-2</v>
      </c>
      <c r="AC10" s="13">
        <v>9.7258571773341691E-3</v>
      </c>
      <c r="AD10" s="13">
        <v>7.023979809880088E-3</v>
      </c>
      <c r="AE10" s="13">
        <v>9.0579654765309964E-3</v>
      </c>
      <c r="AF10" s="13">
        <v>9.5449845434587028E-3</v>
      </c>
      <c r="AG10" s="13">
        <v>9.4951630914621981E-3</v>
      </c>
      <c r="AH10" s="13">
        <v>2.5251389252519494</v>
      </c>
      <c r="AI10" s="13">
        <v>74.123379893801683</v>
      </c>
      <c r="AJ10" s="13">
        <v>25.865153029993138</v>
      </c>
      <c r="AK10" s="13">
        <v>19.128838919544119</v>
      </c>
      <c r="AL10" s="13">
        <v>11.276669646320316</v>
      </c>
    </row>
    <row r="12" spans="1:39" x14ac:dyDescent="0.3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</row>
    <row r="13" spans="1:39" x14ac:dyDescent="0.35">
      <c r="A13" s="8" t="s">
        <v>280</v>
      </c>
      <c r="B13" s="10"/>
      <c r="C13" s="10"/>
      <c r="D13" s="10"/>
      <c r="E13" s="10"/>
      <c r="F13" s="10" t="s">
        <v>276</v>
      </c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 t="s">
        <v>276</v>
      </c>
      <c r="Y13" s="10" t="s">
        <v>276</v>
      </c>
      <c r="Z13" s="10" t="s">
        <v>276</v>
      </c>
      <c r="AA13" s="10" t="s">
        <v>276</v>
      </c>
      <c r="AB13" s="10"/>
      <c r="AC13" s="10"/>
      <c r="AD13" s="10"/>
      <c r="AE13" s="10"/>
      <c r="AF13" s="10"/>
      <c r="AG13" s="10"/>
      <c r="AH13" s="10" t="s">
        <v>276</v>
      </c>
      <c r="AI13" s="10" t="s">
        <v>276</v>
      </c>
      <c r="AJ13" s="10" t="s">
        <v>276</v>
      </c>
      <c r="AK13" s="10" t="s">
        <v>276</v>
      </c>
      <c r="AL13" s="10" t="s">
        <v>276</v>
      </c>
    </row>
    <row r="14" spans="1:39" x14ac:dyDescent="0.35">
      <c r="A14" s="10" t="s">
        <v>299</v>
      </c>
      <c r="B14" s="10">
        <v>362</v>
      </c>
      <c r="C14" s="10">
        <v>1401</v>
      </c>
      <c r="D14" s="10">
        <v>26893.7</v>
      </c>
      <c r="E14" s="10" t="s">
        <v>278</v>
      </c>
      <c r="F14" s="10">
        <v>407320.6</v>
      </c>
      <c r="G14" s="10">
        <v>761</v>
      </c>
      <c r="H14" s="10"/>
      <c r="I14" s="10">
        <v>297.8</v>
      </c>
      <c r="J14" s="10">
        <v>21.2</v>
      </c>
      <c r="K14" s="10">
        <v>261.60000000000002</v>
      </c>
      <c r="L14" s="10">
        <v>56.3</v>
      </c>
      <c r="M14" s="10">
        <v>438971.9</v>
      </c>
      <c r="N14" s="10">
        <v>643.1</v>
      </c>
      <c r="O14" s="10">
        <v>25680.3</v>
      </c>
      <c r="P14" s="10">
        <v>22541.9</v>
      </c>
      <c r="Q14" s="10">
        <v>259.7</v>
      </c>
      <c r="R14" s="10">
        <v>9.26</v>
      </c>
      <c r="S14" s="10" t="s">
        <v>278</v>
      </c>
      <c r="T14" s="10" t="s">
        <v>278</v>
      </c>
      <c r="U14" s="10" t="s">
        <v>278</v>
      </c>
      <c r="V14" s="10" t="s">
        <v>278</v>
      </c>
      <c r="W14" s="10">
        <v>65.5</v>
      </c>
      <c r="X14" s="10">
        <v>68.5</v>
      </c>
      <c r="Y14" s="10">
        <v>68.5</v>
      </c>
      <c r="Z14" s="10">
        <v>63.7</v>
      </c>
      <c r="AA14" s="10">
        <v>52.4</v>
      </c>
      <c r="AB14" s="10" t="s">
        <v>278</v>
      </c>
      <c r="AC14" s="10">
        <v>9.5</v>
      </c>
      <c r="AD14" s="10">
        <v>183.4</v>
      </c>
      <c r="AE14" s="10" t="s">
        <v>278</v>
      </c>
      <c r="AF14" s="10" t="s">
        <v>278</v>
      </c>
      <c r="AG14" s="10" t="s">
        <v>278</v>
      </c>
      <c r="AH14" s="10">
        <v>65.2</v>
      </c>
      <c r="AI14" s="10">
        <v>86.6</v>
      </c>
      <c r="AJ14" s="10">
        <v>62.8</v>
      </c>
      <c r="AK14" s="10">
        <v>60.1</v>
      </c>
      <c r="AL14" s="10">
        <v>66.2</v>
      </c>
    </row>
    <row r="15" spans="1:39" x14ac:dyDescent="0.35">
      <c r="A15" s="10" t="s">
        <v>400</v>
      </c>
      <c r="B15" s="10">
        <v>394.33620898939881</v>
      </c>
      <c r="C15" s="10">
        <v>1362.6004519787518</v>
      </c>
      <c r="D15" s="10">
        <v>26718.578513673398</v>
      </c>
      <c r="E15" s="10">
        <v>116.02089211031394</v>
      </c>
      <c r="F15" s="10">
        <v>407319.76706121536</v>
      </c>
      <c r="G15" s="10">
        <v>812.76945554418148</v>
      </c>
      <c r="H15" s="10">
        <v>0.7430924729242947</v>
      </c>
      <c r="I15" s="10">
        <v>335.38251841799143</v>
      </c>
      <c r="J15" s="10">
        <v>21.461510653741577</v>
      </c>
      <c r="K15" s="10">
        <v>291.33647457938798</v>
      </c>
      <c r="L15" s="10">
        <v>59.384888543165644</v>
      </c>
      <c r="M15" s="10" t="s">
        <v>279</v>
      </c>
      <c r="N15" s="10">
        <v>656.4480516790137</v>
      </c>
      <c r="O15" s="10">
        <v>25561.904444482418</v>
      </c>
      <c r="P15" s="10">
        <v>20593.900607130578</v>
      </c>
      <c r="Q15" s="10">
        <v>310.76348831367505</v>
      </c>
      <c r="R15" s="10">
        <v>7.9460295652478097</v>
      </c>
      <c r="S15" s="10">
        <v>2.2303555436289657</v>
      </c>
      <c r="T15" s="10">
        <v>0.73002504573237914</v>
      </c>
      <c r="U15" s="10">
        <v>8.7281924611924833</v>
      </c>
      <c r="V15" s="10">
        <v>39.909070395977061</v>
      </c>
      <c r="W15" s="10">
        <v>66.301795715778823</v>
      </c>
      <c r="X15" s="10">
        <v>68.499956140577936</v>
      </c>
      <c r="Y15" s="10">
        <v>68.499998424142888</v>
      </c>
      <c r="Z15" s="10">
        <v>63.699614631164266</v>
      </c>
      <c r="AA15" s="10">
        <v>52.39868660367641</v>
      </c>
      <c r="AB15" s="10">
        <v>1.5769104952744317</v>
      </c>
      <c r="AC15" s="10">
        <v>8.6953673361020201</v>
      </c>
      <c r="AD15" s="10">
        <v>155.60006224588682</v>
      </c>
      <c r="AE15" s="10">
        <v>0.24455369716194081</v>
      </c>
      <c r="AF15" s="10">
        <v>6.8935608029661832</v>
      </c>
      <c r="AG15" s="10">
        <v>1205.938608646718</v>
      </c>
      <c r="AH15" s="10">
        <v>65.199813383913948</v>
      </c>
      <c r="AI15" s="10">
        <v>86.599942412652524</v>
      </c>
      <c r="AJ15" s="10">
        <v>62.799858490875366</v>
      </c>
      <c r="AK15" s="10">
        <v>60.098453762000794</v>
      </c>
      <c r="AL15" s="10">
        <v>66.198937445234975</v>
      </c>
    </row>
    <row r="16" spans="1:39" x14ac:dyDescent="0.35">
      <c r="A16" s="13" t="s">
        <v>298</v>
      </c>
      <c r="B16" s="13">
        <v>8.9326544169609985</v>
      </c>
      <c r="C16" s="13">
        <v>-2.740867096448834</v>
      </c>
      <c r="D16" s="13">
        <v>-0.65116174541473726</v>
      </c>
      <c r="E16" s="13" t="e">
        <v>#VALUE!</v>
      </c>
      <c r="F16" s="13">
        <v>-2.0449218247665336E-4</v>
      </c>
      <c r="G16" s="13">
        <v>6.802819388197304</v>
      </c>
      <c r="H16" s="13"/>
      <c r="I16" s="13">
        <v>12.620053196101889</v>
      </c>
      <c r="J16" s="13">
        <v>1.2335408195357438</v>
      </c>
      <c r="K16" s="13">
        <v>11.367153891203348</v>
      </c>
      <c r="L16" s="13">
        <v>5.4793757427453764</v>
      </c>
      <c r="M16" s="13"/>
      <c r="N16" s="13">
        <v>2.0755794867071495</v>
      </c>
      <c r="O16" s="13">
        <v>-0.46103649691624193</v>
      </c>
      <c r="P16" s="13">
        <v>-8.6416823465165926</v>
      </c>
      <c r="Q16" s="13">
        <v>19.662490686821357</v>
      </c>
      <c r="R16" s="13">
        <v>-14.189745515682398</v>
      </c>
      <c r="S16" s="13"/>
      <c r="T16" s="13"/>
      <c r="U16" s="13"/>
      <c r="V16" s="13"/>
      <c r="W16" s="13">
        <v>1.2241155966088904</v>
      </c>
      <c r="X16" s="13">
        <v>-6.4028353378064689E-5</v>
      </c>
      <c r="Y16" s="13">
        <v>-2.3005213319079865E-6</v>
      </c>
      <c r="Z16" s="13">
        <v>-6.0497462439042249E-4</v>
      </c>
      <c r="AA16" s="13">
        <v>-2.5064815335662854E-3</v>
      </c>
      <c r="AB16" s="13"/>
      <c r="AC16" s="13">
        <v>-8.4698175147155794</v>
      </c>
      <c r="AD16" s="13">
        <v>-15.158090378469568</v>
      </c>
      <c r="AE16" s="13"/>
      <c r="AF16" s="13"/>
      <c r="AG16" s="13"/>
      <c r="AH16" s="13"/>
      <c r="AI16" s="13"/>
      <c r="AJ16" s="13"/>
      <c r="AK16" s="13"/>
      <c r="AL16" s="13"/>
    </row>
    <row r="17" spans="1:38" x14ac:dyDescent="0.35">
      <c r="A17" s="13" t="s">
        <v>281</v>
      </c>
      <c r="B17" s="13">
        <v>22.962616670986883</v>
      </c>
      <c r="C17" s="13">
        <v>5.2487050605599705</v>
      </c>
      <c r="D17" s="13">
        <v>1.9571101761617193</v>
      </c>
      <c r="E17" s="13">
        <v>26.106183698930664</v>
      </c>
      <c r="F17" s="13">
        <v>7.470411160939547E-3</v>
      </c>
      <c r="G17" s="13">
        <v>30.189813138400762</v>
      </c>
      <c r="H17" s="13">
        <v>27.388535708174267</v>
      </c>
      <c r="I17" s="13">
        <v>11.576967937936345</v>
      </c>
      <c r="J17" s="13">
        <v>2.3942886386818336</v>
      </c>
      <c r="K17" s="13">
        <v>9.9879048656659677</v>
      </c>
      <c r="L17" s="13">
        <v>13.178144614950996</v>
      </c>
      <c r="M17" s="13"/>
      <c r="N17" s="13">
        <v>1.7523217027059064</v>
      </c>
      <c r="O17" s="13">
        <v>1.685149857515801</v>
      </c>
      <c r="P17" s="13">
        <v>2.9964537916380984</v>
      </c>
      <c r="Q17" s="13">
        <v>21.603456354232755</v>
      </c>
      <c r="R17" s="13">
        <v>3.0292876182184147</v>
      </c>
      <c r="S17" s="13">
        <v>28.470838127994895</v>
      </c>
      <c r="T17" s="13">
        <v>12.931408246907017</v>
      </c>
      <c r="U17" s="13">
        <v>17.297158505429618</v>
      </c>
      <c r="V17" s="13">
        <v>15.047124530907046</v>
      </c>
      <c r="W17" s="13">
        <v>2.4902508511475738</v>
      </c>
      <c r="X17" s="13">
        <v>5.0229099649638353E-3</v>
      </c>
      <c r="Y17" s="13">
        <v>4.2813610362191206E-3</v>
      </c>
      <c r="Z17" s="13">
        <v>1.3268727784765847E-2</v>
      </c>
      <c r="AA17" s="13">
        <v>3.5047704420731067E-2</v>
      </c>
      <c r="AB17" s="13">
        <v>21.876846141534529</v>
      </c>
      <c r="AC17" s="13">
        <v>3.1327638820411243</v>
      </c>
      <c r="AD17" s="13">
        <v>11.65093134180359</v>
      </c>
      <c r="AE17" s="13">
        <v>17.284952110740466</v>
      </c>
      <c r="AF17" s="13">
        <v>11.859741528735993</v>
      </c>
      <c r="AG17" s="13">
        <v>2.7178416756118291</v>
      </c>
      <c r="AH17" s="13">
        <v>3.4737727898173456E-3</v>
      </c>
      <c r="AI17" s="13">
        <v>2.2988873231104935E-3</v>
      </c>
      <c r="AJ17" s="13">
        <v>8.2823458557316782E-3</v>
      </c>
      <c r="AK17" s="13">
        <v>1.3054789182887798E-2</v>
      </c>
      <c r="AL17" s="13">
        <v>3.445052101399626E-2</v>
      </c>
    </row>
    <row r="18" spans="1:38" x14ac:dyDescent="0.3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</row>
    <row r="19" spans="1:38" x14ac:dyDescent="0.35">
      <c r="A19" s="13"/>
      <c r="B19" s="27"/>
      <c r="C19" s="27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</row>
    <row r="20" spans="1:38" x14ac:dyDescent="0.35">
      <c r="A20" s="8" t="s">
        <v>444</v>
      </c>
      <c r="B20" s="29"/>
      <c r="C20" s="29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</row>
    <row r="21" spans="1:38" x14ac:dyDescent="0.35">
      <c r="A21" s="10" t="s">
        <v>299</v>
      </c>
      <c r="B21" s="26">
        <v>55800</v>
      </c>
      <c r="C21" s="26">
        <v>90582.352941176476</v>
      </c>
      <c r="D21" s="13">
        <v>200</v>
      </c>
      <c r="E21" s="13">
        <v>3</v>
      </c>
      <c r="F21" s="13">
        <v>1000</v>
      </c>
      <c r="G21" s="13">
        <v>33</v>
      </c>
      <c r="H21" s="13">
        <v>7.2219242691553953</v>
      </c>
      <c r="I21" s="13">
        <v>5266.2721893491125</v>
      </c>
      <c r="J21" s="13">
        <v>2457.5752584913607</v>
      </c>
      <c r="K21" s="13">
        <v>305186.99999999994</v>
      </c>
      <c r="L21" s="13">
        <v>1733.3676423746369</v>
      </c>
      <c r="M21" s="13">
        <v>207829.45736434107</v>
      </c>
      <c r="N21" s="13">
        <v>304.39290021087049</v>
      </c>
      <c r="O21" s="13">
        <v>1194.838126334221</v>
      </c>
      <c r="P21" s="13">
        <v>2.3459637304934415</v>
      </c>
      <c r="Q21" s="13">
        <v>708.97459107069221</v>
      </c>
      <c r="R21" s="13">
        <v>60.202961170332713</v>
      </c>
      <c r="S21" s="17">
        <v>0.5058773642862161</v>
      </c>
      <c r="T21" s="17">
        <v>3.3210067230514534E-3</v>
      </c>
      <c r="U21" s="17">
        <v>0.68494263948614864</v>
      </c>
      <c r="V21" s="17">
        <v>0.15010967894555416</v>
      </c>
      <c r="W21" s="17">
        <v>3.638372444917929E-2</v>
      </c>
      <c r="X21" s="17">
        <v>6.8767026877694839E-3</v>
      </c>
      <c r="Y21" s="17">
        <v>6.8767026877694839E-3</v>
      </c>
      <c r="Z21" s="17">
        <v>2E-3</v>
      </c>
      <c r="AA21" s="17" t="s">
        <v>283</v>
      </c>
      <c r="AB21" s="17">
        <v>3.0667843316995798E-2</v>
      </c>
      <c r="AC21" s="17">
        <v>1.699128074523067E-2</v>
      </c>
      <c r="AD21" s="17">
        <v>0.27692517795906335</v>
      </c>
      <c r="AE21" s="17">
        <v>5.6739981992713961E-2</v>
      </c>
      <c r="AF21" s="17">
        <v>3.9295510531470205E-3</v>
      </c>
      <c r="AG21" s="17">
        <v>6.3469355496891658E-2</v>
      </c>
      <c r="AH21" s="17">
        <v>-7.1521968169090426E-4</v>
      </c>
      <c r="AI21" s="17">
        <v>3.0000000000000001E-3</v>
      </c>
      <c r="AJ21" s="17">
        <v>3.9417846766496003E-3</v>
      </c>
      <c r="AK21" s="17">
        <v>6.2594190753944507E-3</v>
      </c>
      <c r="AL21" s="19" t="s">
        <v>284</v>
      </c>
    </row>
    <row r="22" spans="1:38" x14ac:dyDescent="0.35">
      <c r="A22" s="10" t="s">
        <v>400</v>
      </c>
      <c r="B22" s="26">
        <v>55565.298621363101</v>
      </c>
      <c r="C22" s="26">
        <v>93466.785301510565</v>
      </c>
      <c r="D22" s="10">
        <v>1275.4189050065768</v>
      </c>
      <c r="E22" s="10">
        <v>31.4162355095038</v>
      </c>
      <c r="F22" s="10">
        <v>767.85681201226691</v>
      </c>
      <c r="G22" s="10">
        <v>49.973453917929845</v>
      </c>
      <c r="H22" s="10">
        <v>7.5479900491665646</v>
      </c>
      <c r="I22" s="10">
        <v>5648.6148251179238</v>
      </c>
      <c r="J22" s="10">
        <v>2413.9781292098601</v>
      </c>
      <c r="K22" s="10">
        <v>296034.36966374278</v>
      </c>
      <c r="L22" s="10">
        <v>1807.5679406126419</v>
      </c>
      <c r="M22" s="10" t="s">
        <v>279</v>
      </c>
      <c r="N22" s="10">
        <v>294.97926476750979</v>
      </c>
      <c r="O22" s="10">
        <v>1327.2380386079039</v>
      </c>
      <c r="P22" s="10">
        <v>1.3166311093014622</v>
      </c>
      <c r="Q22" s="10">
        <v>1335.8531265852362</v>
      </c>
      <c r="R22" s="10">
        <v>67.88345353174968</v>
      </c>
      <c r="S22" s="11">
        <v>1.3212492517103249</v>
      </c>
      <c r="T22" s="11">
        <v>8.0964473331259657E-3</v>
      </c>
      <c r="U22" s="11">
        <v>0.35015441381483636</v>
      </c>
      <c r="V22" s="11">
        <v>0.1605534657477376</v>
      </c>
      <c r="W22" s="11">
        <v>6.227390499373886E-2</v>
      </c>
      <c r="X22" s="11">
        <v>1.4267052853115423E-2</v>
      </c>
      <c r="Y22" s="11">
        <v>1.5459607609780324E-2</v>
      </c>
      <c r="Z22" s="11">
        <v>4.4075064899162701E-3</v>
      </c>
      <c r="AA22" s="11">
        <v>1.3757312139707526E-2</v>
      </c>
      <c r="AB22" s="11">
        <v>6.0226412230250014E-2</v>
      </c>
      <c r="AC22" s="11">
        <v>6.0884031446226394E-2</v>
      </c>
      <c r="AD22" s="11">
        <v>0.38778546661187263</v>
      </c>
      <c r="AE22" s="11">
        <v>8.367439531264334E-2</v>
      </c>
      <c r="AF22" s="11">
        <v>1.4478822418467341E-2</v>
      </c>
      <c r="AG22" s="11">
        <v>6.3338753051940797E-2</v>
      </c>
      <c r="AH22" s="11">
        <v>6.4754754766648522E-3</v>
      </c>
      <c r="AI22" s="11">
        <v>1.4466565490014901E-2</v>
      </c>
      <c r="AJ22" s="11">
        <v>4.6974852156302475E-3</v>
      </c>
      <c r="AK22" s="11">
        <v>3.2941019489171525E-2</v>
      </c>
      <c r="AL22" s="11">
        <v>2.0474402810183347E-2</v>
      </c>
    </row>
    <row r="23" spans="1:38" x14ac:dyDescent="0.35">
      <c r="A23" s="13" t="s">
        <v>298</v>
      </c>
      <c r="B23" s="27">
        <v>-0.42061178967186186</v>
      </c>
      <c r="C23" s="27">
        <v>3.1843204185777978</v>
      </c>
      <c r="D23" s="13">
        <v>537.70945250328839</v>
      </c>
      <c r="E23" s="13">
        <v>947.20785031679338</v>
      </c>
      <c r="F23" s="13">
        <v>-23.214318798773309</v>
      </c>
      <c r="G23" s="13">
        <v>51.434708842211649</v>
      </c>
      <c r="H23" s="13">
        <v>4.5149432181639684</v>
      </c>
      <c r="I23" s="13">
        <v>7.2602140949358542</v>
      </c>
      <c r="J23" s="13">
        <v>-1.7739895911982675</v>
      </c>
      <c r="K23" s="13">
        <v>-2.9990236596765802</v>
      </c>
      <c r="L23" s="13">
        <v>4.2807017059781867</v>
      </c>
      <c r="M23" s="13"/>
      <c r="N23" s="13">
        <v>-3.0925936304162605</v>
      </c>
      <c r="O23" s="13">
        <v>11.080991588365833</v>
      </c>
      <c r="P23" s="13">
        <v>-43.876749150570767</v>
      </c>
      <c r="Q23" s="13">
        <v>88.420451650860016</v>
      </c>
      <c r="R23" s="13">
        <v>12.757665423942335</v>
      </c>
      <c r="S23" s="17">
        <v>161.17975323418236</v>
      </c>
      <c r="T23" s="17">
        <v>143.79496966771197</v>
      </c>
      <c r="U23" s="17">
        <v>-48.878286497461161</v>
      </c>
      <c r="V23" s="17">
        <v>6.9574373055394227</v>
      </c>
      <c r="W23" s="17">
        <v>71.158686848354179</v>
      </c>
      <c r="X23" s="17">
        <v>107.46938614184963</v>
      </c>
      <c r="Y23" s="17">
        <v>124.81134217531189</v>
      </c>
      <c r="Z23" s="17">
        <v>120.3753244958135</v>
      </c>
      <c r="AA23" s="17" t="e">
        <v>#VALUE!</v>
      </c>
      <c r="AB23" s="17">
        <v>96.382939640470795</v>
      </c>
      <c r="AC23" s="17">
        <v>258.32514546212832</v>
      </c>
      <c r="AD23" s="17">
        <v>40.032578283364785</v>
      </c>
      <c r="AE23" s="17">
        <v>47.469901071502022</v>
      </c>
      <c r="AF23" s="17">
        <v>268.45996457717047</v>
      </c>
      <c r="AG23" s="17">
        <v>-0.20577244550286553</v>
      </c>
      <c r="AH23" s="17">
        <v>-1005.3827295909555</v>
      </c>
      <c r="AI23" s="17">
        <v>382.2188496671634</v>
      </c>
      <c r="AJ23" s="17">
        <v>19.171532718600201</v>
      </c>
      <c r="AK23" s="17">
        <v>426.26320577673857</v>
      </c>
      <c r="AL23" s="17" t="e">
        <v>#VALUE!</v>
      </c>
    </row>
    <row r="24" spans="1:38" x14ac:dyDescent="0.35">
      <c r="A24" s="13" t="s">
        <v>281</v>
      </c>
      <c r="B24" s="28">
        <v>2.9850789937035089</v>
      </c>
      <c r="C24" s="28">
        <v>3.2892528346911289</v>
      </c>
      <c r="D24" s="15">
        <v>137.14531423930816</v>
      </c>
      <c r="E24" s="15">
        <v>15.134298629941098</v>
      </c>
      <c r="F24" s="15">
        <v>27.921090218517335</v>
      </c>
      <c r="G24" s="15">
        <v>90.33139851302424</v>
      </c>
      <c r="H24" s="15">
        <v>9.3045346296050386</v>
      </c>
      <c r="I24" s="15">
        <v>5.0540997163273511</v>
      </c>
      <c r="J24" s="15">
        <v>2.819260173670334</v>
      </c>
      <c r="K24" s="15">
        <v>2.3340518615874362</v>
      </c>
      <c r="L24" s="15">
        <v>1.4719002416395666</v>
      </c>
      <c r="M24" s="15"/>
      <c r="N24" s="15">
        <v>1.3447296408614275</v>
      </c>
      <c r="O24" s="15">
        <v>3.2869774846119943</v>
      </c>
      <c r="P24" s="15">
        <v>87.923041907632211</v>
      </c>
      <c r="Q24" s="15">
        <v>5.1536911866710433</v>
      </c>
      <c r="R24" s="15">
        <v>2.14638675510438</v>
      </c>
      <c r="S24" s="18">
        <v>30.24679848794305</v>
      </c>
      <c r="T24" s="18">
        <v>32.59725301514603</v>
      </c>
      <c r="U24" s="18">
        <v>27.39296974181422</v>
      </c>
      <c r="V24" s="18">
        <v>23.542237447124496</v>
      </c>
      <c r="W24" s="18">
        <v>115.26740912877599</v>
      </c>
      <c r="X24" s="18">
        <v>78.480755576505302</v>
      </c>
      <c r="Y24" s="18">
        <v>91.462668545104293</v>
      </c>
      <c r="Z24" s="18" t="e">
        <v>#DIV/0!</v>
      </c>
      <c r="AA24" s="18">
        <v>67.155633297878524</v>
      </c>
      <c r="AB24" s="18">
        <v>46.125542515101415</v>
      </c>
      <c r="AC24" s="18">
        <v>108.91845491342853</v>
      </c>
      <c r="AD24" s="18">
        <v>11.170318186195139</v>
      </c>
      <c r="AE24" s="18">
        <v>27.700113804470668</v>
      </c>
      <c r="AF24" s="18">
        <v>73.192609220795362</v>
      </c>
      <c r="AG24" s="18">
        <v>117.56378595566355</v>
      </c>
      <c r="AH24" s="18">
        <v>48.654940605403915</v>
      </c>
      <c r="AI24" s="18" t="e">
        <v>#DIV/0!</v>
      </c>
      <c r="AJ24" s="18">
        <v>42.905390356393085</v>
      </c>
      <c r="AK24" s="18">
        <v>78.441454195857148</v>
      </c>
      <c r="AL24" s="18">
        <v>51.639458891358004</v>
      </c>
    </row>
    <row r="25" spans="1:38" x14ac:dyDescent="0.35">
      <c r="A25" s="13"/>
      <c r="B25" s="27"/>
      <c r="C25" s="27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</row>
    <row r="26" spans="1:38" x14ac:dyDescent="0.35">
      <c r="A26" s="8" t="s">
        <v>285</v>
      </c>
      <c r="B26" s="29"/>
      <c r="C26" s="29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</row>
    <row r="27" spans="1:38" x14ac:dyDescent="0.35">
      <c r="A27" s="10" t="s">
        <v>299</v>
      </c>
      <c r="B27" s="26">
        <v>51318</v>
      </c>
      <c r="C27" s="26">
        <v>92145</v>
      </c>
      <c r="D27" s="10">
        <v>224259</v>
      </c>
      <c r="E27" s="10">
        <v>611</v>
      </c>
      <c r="F27" s="10" t="s">
        <v>278</v>
      </c>
      <c r="G27" s="26">
        <v>86787</v>
      </c>
      <c r="H27" s="10">
        <v>36.75</v>
      </c>
      <c r="I27" s="10">
        <v>7012</v>
      </c>
      <c r="J27" s="10">
        <v>238</v>
      </c>
      <c r="K27" s="10">
        <v>300.2</v>
      </c>
      <c r="L27" s="10">
        <v>1255</v>
      </c>
      <c r="M27" s="10">
        <v>72598</v>
      </c>
      <c r="N27" s="10">
        <v>46.9</v>
      </c>
      <c r="O27" s="10">
        <v>145.69999999999999</v>
      </c>
      <c r="P27" s="10">
        <v>89.5</v>
      </c>
      <c r="Q27" s="10">
        <v>70.8</v>
      </c>
      <c r="R27" s="10">
        <v>16.02</v>
      </c>
      <c r="S27" s="11">
        <v>1.26</v>
      </c>
      <c r="T27" s="11">
        <v>19.329999999999998</v>
      </c>
      <c r="U27" s="11">
        <v>55.1</v>
      </c>
      <c r="V27" s="11">
        <v>4.16</v>
      </c>
      <c r="W27" s="11" t="s">
        <v>278</v>
      </c>
      <c r="X27" s="11" t="s">
        <v>278</v>
      </c>
      <c r="Y27" s="11" t="s">
        <v>278</v>
      </c>
      <c r="Z27" s="11" t="s">
        <v>278</v>
      </c>
      <c r="AA27" s="11" t="s">
        <v>278</v>
      </c>
      <c r="AB27" s="11" t="s">
        <v>278</v>
      </c>
      <c r="AC27" s="11" t="s">
        <v>278</v>
      </c>
      <c r="AD27" s="11">
        <v>1.33</v>
      </c>
      <c r="AE27" s="11">
        <v>1.52</v>
      </c>
      <c r="AF27" s="11">
        <v>0.28000000000000003</v>
      </c>
      <c r="AG27" s="11" t="s">
        <v>278</v>
      </c>
      <c r="AH27" s="11" t="s">
        <v>278</v>
      </c>
      <c r="AI27" s="11" t="s">
        <v>278</v>
      </c>
      <c r="AJ27" s="11" t="s">
        <v>278</v>
      </c>
      <c r="AK27" s="11" t="s">
        <v>278</v>
      </c>
      <c r="AL27" s="11" t="s">
        <v>278</v>
      </c>
    </row>
    <row r="28" spans="1:38" x14ac:dyDescent="0.35">
      <c r="A28" s="10" t="s">
        <v>415</v>
      </c>
      <c r="B28" s="26">
        <v>48301.708714437504</v>
      </c>
      <c r="C28" s="26">
        <v>83448.578138920624</v>
      </c>
      <c r="D28" s="10">
        <v>222552.84843081975</v>
      </c>
      <c r="E28" s="10">
        <v>1172.5966938735128</v>
      </c>
      <c r="F28" s="10">
        <v>921.60497166256675</v>
      </c>
      <c r="G28" s="26">
        <v>80394.608777763875</v>
      </c>
      <c r="H28" s="10">
        <v>34.31979931529596</v>
      </c>
      <c r="I28" s="10">
        <v>6615.0991739161509</v>
      </c>
      <c r="J28" s="10">
        <v>243.52826122389476</v>
      </c>
      <c r="K28" s="10">
        <v>333.35581310674502</v>
      </c>
      <c r="L28" s="10">
        <v>1260.5171631830449</v>
      </c>
      <c r="M28" s="10" t="s">
        <v>279</v>
      </c>
      <c r="N28" s="10">
        <v>47.497884280592345</v>
      </c>
      <c r="O28" s="10">
        <v>156.701775355047</v>
      </c>
      <c r="P28" s="10">
        <v>82.933048237491306</v>
      </c>
      <c r="Q28" s="10">
        <v>77.564049848538147</v>
      </c>
      <c r="R28" s="10">
        <v>15.6888549930572</v>
      </c>
      <c r="S28" s="11">
        <v>1.8316748353212</v>
      </c>
      <c r="T28" s="11">
        <v>16.8479840036062</v>
      </c>
      <c r="U28" s="11">
        <v>48.728982944513803</v>
      </c>
      <c r="V28" s="11">
        <v>3.4987189683817599</v>
      </c>
      <c r="W28" s="11">
        <v>0.40640032898248479</v>
      </c>
      <c r="X28" s="11">
        <v>0.29549507118715179</v>
      </c>
      <c r="Y28" s="11">
        <v>0.29079890609126974</v>
      </c>
      <c r="Z28" s="11">
        <v>3.3874253120844151E-3</v>
      </c>
      <c r="AA28" s="11">
        <v>6.9288920430043673E-3</v>
      </c>
      <c r="AB28" s="11">
        <v>0.10920076894417277</v>
      </c>
      <c r="AC28" s="11">
        <v>6.0760641741920474E-2</v>
      </c>
      <c r="AD28" s="11">
        <v>1.253790088010875</v>
      </c>
      <c r="AE28" s="11">
        <v>1.3769485426822898</v>
      </c>
      <c r="AF28" s="11">
        <v>0.22617914677216827</v>
      </c>
      <c r="AG28" s="11">
        <v>0.25658243577988449</v>
      </c>
      <c r="AH28" s="11">
        <v>4.9437981449723944E-3</v>
      </c>
      <c r="AI28" s="11" t="s">
        <v>303</v>
      </c>
      <c r="AJ28" s="11">
        <v>7.4831170585992396E-2</v>
      </c>
      <c r="AK28" s="11">
        <v>0.83177680728177261</v>
      </c>
      <c r="AL28" s="11">
        <v>0.165404789880845</v>
      </c>
    </row>
    <row r="29" spans="1:38" x14ac:dyDescent="0.35">
      <c r="A29" s="13" t="s">
        <v>298</v>
      </c>
      <c r="B29" s="27">
        <v>-5.8776477757560626</v>
      </c>
      <c r="C29" s="27">
        <v>-9.4377577308365908</v>
      </c>
      <c r="D29" s="13">
        <v>-0.76079513829110479</v>
      </c>
      <c r="E29" s="13">
        <v>91.914352516123202</v>
      </c>
      <c r="F29" s="13" t="e">
        <v>#VALUE!</v>
      </c>
      <c r="G29" s="13">
        <v>-7.3656091606301919</v>
      </c>
      <c r="H29" s="13">
        <v>-6.6127909787865038</v>
      </c>
      <c r="I29" s="13">
        <v>-5.6603084153429704</v>
      </c>
      <c r="J29" s="13">
        <v>2.3227988335692267</v>
      </c>
      <c r="K29" s="13">
        <v>11.044574652480023</v>
      </c>
      <c r="L29" s="13">
        <v>0.43961459625855664</v>
      </c>
      <c r="M29" s="13"/>
      <c r="N29" s="13">
        <v>1.2748065684271777</v>
      </c>
      <c r="O29" s="13">
        <v>7.5509782807460653</v>
      </c>
      <c r="P29" s="13">
        <v>-7.3373762709594352</v>
      </c>
      <c r="Q29" s="13">
        <v>9.553742723923941</v>
      </c>
      <c r="R29" s="13">
        <v>-2.0670724528264635</v>
      </c>
      <c r="S29" s="17">
        <v>45.371018676285715</v>
      </c>
      <c r="T29" s="17">
        <v>-12.840227606796681</v>
      </c>
      <c r="U29" s="17">
        <v>-11.562644383822503</v>
      </c>
      <c r="V29" s="17">
        <v>-15.896178644669238</v>
      </c>
      <c r="W29" s="17"/>
      <c r="X29" s="17"/>
      <c r="Y29" s="17"/>
      <c r="Z29" s="17"/>
      <c r="AA29" s="17"/>
      <c r="AB29" s="17"/>
      <c r="AC29" s="17"/>
      <c r="AD29" s="17">
        <v>-5.730068570610908</v>
      </c>
      <c r="AE29" s="17">
        <v>-9.411280086691459</v>
      </c>
      <c r="AF29" s="17">
        <v>-19.221733295654197</v>
      </c>
      <c r="AG29" s="17"/>
      <c r="AH29" s="17"/>
      <c r="AI29" s="17"/>
      <c r="AJ29" s="17"/>
      <c r="AK29" s="17"/>
      <c r="AL29" s="17"/>
    </row>
    <row r="30" spans="1:38" x14ac:dyDescent="0.35">
      <c r="A30" s="13" t="s">
        <v>281</v>
      </c>
      <c r="B30" s="13">
        <v>1.815644227966539</v>
      </c>
      <c r="C30" s="13">
        <v>1.9527839007010832</v>
      </c>
      <c r="D30" s="13">
        <v>1.989625902752306</v>
      </c>
      <c r="E30" s="13">
        <v>29.06631585956287</v>
      </c>
      <c r="F30" s="13">
        <v>57.824274340670691</v>
      </c>
      <c r="G30" s="13">
        <v>2.8418137226998352</v>
      </c>
      <c r="H30" s="13">
        <v>3.6635033796655581</v>
      </c>
      <c r="I30" s="13">
        <v>2.6314203321288794</v>
      </c>
      <c r="J30" s="13">
        <v>2.3528157791355762</v>
      </c>
      <c r="K30" s="13">
        <v>2.0165590606394583</v>
      </c>
      <c r="L30" s="13">
        <v>1.1333224374628175</v>
      </c>
      <c r="M30" s="13">
        <v>0</v>
      </c>
      <c r="N30" s="13">
        <v>1.7258215684306446</v>
      </c>
      <c r="O30" s="13">
        <v>1.3701780725998294</v>
      </c>
      <c r="P30" s="13">
        <v>3.1339674798989234</v>
      </c>
      <c r="Q30" s="13">
        <v>3.4054868824846896</v>
      </c>
      <c r="R30" s="13">
        <v>1.7435166384101781</v>
      </c>
      <c r="S30" s="17" t="e">
        <v>#DIV/0!</v>
      </c>
      <c r="T30" s="17">
        <v>3.0545743875620861</v>
      </c>
      <c r="U30" s="17">
        <v>2.1173437466063856</v>
      </c>
      <c r="V30" s="17">
        <v>2.3271026298084152</v>
      </c>
      <c r="W30" s="17">
        <v>1.6737197511513282</v>
      </c>
      <c r="X30" s="17">
        <v>20.233923231798187</v>
      </c>
      <c r="Y30" s="17">
        <v>20.019752873644844</v>
      </c>
      <c r="Z30" s="17">
        <v>29.565146278304265</v>
      </c>
      <c r="AA30" s="17">
        <v>57.037744831933146</v>
      </c>
      <c r="AB30" s="17">
        <v>11.969014997357036</v>
      </c>
      <c r="AC30" s="17">
        <v>10.083559999514955</v>
      </c>
      <c r="AD30" s="17">
        <v>9.5266338575152147</v>
      </c>
      <c r="AE30" s="17">
        <v>2.5301609508242917</v>
      </c>
      <c r="AF30" s="17">
        <v>13.536731602003982</v>
      </c>
      <c r="AG30" s="17">
        <v>6.1903783998616131</v>
      </c>
      <c r="AH30" s="17">
        <v>135.48956707583278</v>
      </c>
      <c r="AI30" s="17" t="e">
        <v>#VALUE!</v>
      </c>
      <c r="AJ30" s="17">
        <v>48.934494560476018</v>
      </c>
      <c r="AK30" s="17">
        <v>10.652903947353497</v>
      </c>
      <c r="AL30" s="17">
        <v>23.46</v>
      </c>
    </row>
    <row r="31" spans="1:38" x14ac:dyDescent="0.35">
      <c r="A31" s="13"/>
      <c r="B31" s="27"/>
      <c r="C31" s="27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</row>
    <row r="32" spans="1:38" x14ac:dyDescent="0.35">
      <c r="A32" s="8" t="s">
        <v>295</v>
      </c>
      <c r="B32" s="29"/>
      <c r="C32" s="29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</row>
    <row r="33" spans="1:38" x14ac:dyDescent="0.35">
      <c r="A33" s="10" t="s">
        <v>299</v>
      </c>
      <c r="B33" s="26">
        <v>432</v>
      </c>
      <c r="C33" s="26">
        <v>10320</v>
      </c>
      <c r="D33" s="10">
        <v>325793</v>
      </c>
      <c r="E33" s="10">
        <v>413</v>
      </c>
      <c r="F33" s="10">
        <v>575</v>
      </c>
      <c r="G33" s="26">
        <v>81475</v>
      </c>
      <c r="H33" s="10">
        <v>455</v>
      </c>
      <c r="I33" s="10">
        <v>452</v>
      </c>
      <c r="J33" s="10">
        <v>450</v>
      </c>
      <c r="K33" s="10">
        <v>408</v>
      </c>
      <c r="L33" s="10">
        <v>444</v>
      </c>
      <c r="M33" s="10">
        <v>458</v>
      </c>
      <c r="N33" s="10">
        <v>410</v>
      </c>
      <c r="O33" s="10">
        <v>458.7</v>
      </c>
      <c r="P33" s="10">
        <v>441</v>
      </c>
      <c r="Q33" s="10">
        <v>460</v>
      </c>
      <c r="R33" s="10">
        <v>433</v>
      </c>
      <c r="S33" s="11">
        <v>447</v>
      </c>
      <c r="T33" s="11">
        <v>462</v>
      </c>
      <c r="U33" s="11">
        <v>448</v>
      </c>
      <c r="V33" s="11">
        <v>465</v>
      </c>
      <c r="W33" s="11">
        <v>417</v>
      </c>
      <c r="X33" s="11" t="s">
        <v>278</v>
      </c>
      <c r="Y33" s="11" t="s">
        <v>278</v>
      </c>
      <c r="Z33" s="11">
        <v>1.29</v>
      </c>
      <c r="AA33" s="11">
        <v>1.21</v>
      </c>
      <c r="AB33" s="11">
        <v>270</v>
      </c>
      <c r="AC33" s="11">
        <v>434</v>
      </c>
      <c r="AD33" s="11">
        <v>430</v>
      </c>
      <c r="AE33" s="11">
        <v>435</v>
      </c>
      <c r="AF33" s="11">
        <v>446</v>
      </c>
      <c r="AG33" s="11">
        <v>444</v>
      </c>
      <c r="AH33" s="11">
        <v>49.9</v>
      </c>
      <c r="AI33" s="11" t="s">
        <v>278</v>
      </c>
      <c r="AJ33" s="11" t="s">
        <v>278</v>
      </c>
      <c r="AK33" s="11">
        <v>3.12</v>
      </c>
      <c r="AL33" s="11">
        <v>23.6</v>
      </c>
    </row>
    <row r="34" spans="1:38" x14ac:dyDescent="0.35">
      <c r="A34" s="10" t="s">
        <v>400</v>
      </c>
      <c r="B34" s="26">
        <v>483.87090877951022</v>
      </c>
      <c r="C34" s="26">
        <v>10369.662184189579</v>
      </c>
      <c r="D34" s="10" t="s">
        <v>279</v>
      </c>
      <c r="E34" s="10">
        <v>860.93085869966035</v>
      </c>
      <c r="F34" s="10">
        <v>945.9276197856318</v>
      </c>
      <c r="G34" s="26">
        <v>86428.919312849859</v>
      </c>
      <c r="H34" s="10">
        <f>500.39947567205-H43*D33</f>
        <v>496.31690331729487</v>
      </c>
      <c r="I34" s="10">
        <v>501.75349636591619</v>
      </c>
      <c r="J34" s="10">
        <v>482.85345169732</v>
      </c>
      <c r="K34" s="10">
        <v>446.01816600331887</v>
      </c>
      <c r="L34" s="10">
        <v>467.0543691808154</v>
      </c>
      <c r="M34" s="10">
        <v>558.95540976348343</v>
      </c>
      <c r="N34" s="10">
        <v>416.40679249160291</v>
      </c>
      <c r="O34" s="10">
        <v>472.70020262845583</v>
      </c>
      <c r="P34" s="10">
        <v>444.87893078600581</v>
      </c>
      <c r="Q34" s="10">
        <v>442.13872335993835</v>
      </c>
      <c r="R34" s="10">
        <v>430.94914088251096</v>
      </c>
      <c r="S34" s="11">
        <v>352.35468734463586</v>
      </c>
      <c r="T34" s="11">
        <v>495.02577961376238</v>
      </c>
      <c r="U34" s="11">
        <v>496.80534428316088</v>
      </c>
      <c r="V34" s="11">
        <v>492.09787004811335</v>
      </c>
      <c r="W34" s="11">
        <v>450.75752451487261</v>
      </c>
      <c r="X34" s="11" t="s">
        <v>301</v>
      </c>
      <c r="Y34" s="11">
        <v>2.1148104513915179E-2</v>
      </c>
      <c r="Z34" s="11">
        <v>1.2917148821473721</v>
      </c>
      <c r="AA34" s="11" t="s">
        <v>302</v>
      </c>
      <c r="AB34" s="11">
        <v>166.98962784791561</v>
      </c>
      <c r="AC34" s="11">
        <v>417.73053327864301</v>
      </c>
      <c r="AD34" s="11">
        <v>364.68767396902842</v>
      </c>
      <c r="AE34" s="11">
        <v>466.41755517806178</v>
      </c>
      <c r="AF34" s="11">
        <v>466.17922995049867</v>
      </c>
      <c r="AG34" s="11">
        <v>479.16211945577163</v>
      </c>
      <c r="AH34" s="11">
        <v>67.859110069117122</v>
      </c>
      <c r="AI34" s="11" t="s">
        <v>303</v>
      </c>
      <c r="AJ34" s="11">
        <v>4.1700912794511102E-2</v>
      </c>
      <c r="AK34" s="11">
        <v>3.0011315346044038</v>
      </c>
      <c r="AL34" s="11">
        <v>20.435186144981799</v>
      </c>
    </row>
    <row r="35" spans="1:38" x14ac:dyDescent="0.35">
      <c r="A35" s="13" t="s">
        <v>298</v>
      </c>
      <c r="B35" s="13">
        <v>12.007154810071809</v>
      </c>
      <c r="C35" s="13">
        <v>0.4812227150153045</v>
      </c>
      <c r="D35" s="13"/>
      <c r="E35" s="13">
        <v>108.45783503623738</v>
      </c>
      <c r="F35" s="13">
        <v>64.5091512670664</v>
      </c>
      <c r="G35" s="13">
        <v>6.0802937254984464</v>
      </c>
      <c r="H35" s="13">
        <f>(H34-H33)/H33*100</f>
        <v>9.0806380917131584</v>
      </c>
      <c r="I35" s="13">
        <v>11.007410700423936</v>
      </c>
      <c r="J35" s="13">
        <v>7.3007670438488876</v>
      </c>
      <c r="K35" s="13">
        <v>9.3181779419899193</v>
      </c>
      <c r="L35" s="13">
        <v>5.1924254911746397</v>
      </c>
      <c r="M35" s="13">
        <v>22.042665887223457</v>
      </c>
      <c r="N35" s="13">
        <v>1.5626323150251011</v>
      </c>
      <c r="O35" s="13">
        <v>3.0521479460335379</v>
      </c>
      <c r="P35" s="13">
        <v>0.87957614195143097</v>
      </c>
      <c r="Q35" s="13">
        <v>-3.8828862261003581</v>
      </c>
      <c r="R35" s="13">
        <v>-0.47363951905058654</v>
      </c>
      <c r="S35" s="17">
        <v>-21.173448021334259</v>
      </c>
      <c r="T35" s="17">
        <v>7.148437145836013</v>
      </c>
      <c r="U35" s="17">
        <v>10.894050063205553</v>
      </c>
      <c r="V35" s="17">
        <v>5.8274989350781397</v>
      </c>
      <c r="W35" s="17">
        <v>8.0953296198735281</v>
      </c>
      <c r="X35" s="17"/>
      <c r="Y35" s="17"/>
      <c r="Z35" s="17">
        <v>0.13293660057147536</v>
      </c>
      <c r="AA35" s="17"/>
      <c r="AB35" s="17">
        <v>-38.151989685957183</v>
      </c>
      <c r="AC35" s="17">
        <v>-3.7487250510039152</v>
      </c>
      <c r="AD35" s="17">
        <v>-15.188913030458506</v>
      </c>
      <c r="AE35" s="17">
        <v>7.2224264777153504</v>
      </c>
      <c r="AF35" s="17">
        <v>4.5244910202911806</v>
      </c>
      <c r="AG35" s="17">
        <v>7.9193962738224393</v>
      </c>
      <c r="AH35" s="17">
        <v>35.990200539312873</v>
      </c>
      <c r="AI35" s="17"/>
      <c r="AJ35" s="17"/>
      <c r="AK35" s="17">
        <v>-3.8098867113973158</v>
      </c>
      <c r="AL35" s="17">
        <v>-13.410228199229671</v>
      </c>
    </row>
    <row r="36" spans="1:38" x14ac:dyDescent="0.35">
      <c r="A36" s="13" t="s">
        <v>281</v>
      </c>
      <c r="B36" s="13">
        <v>1.2608378237990305</v>
      </c>
      <c r="C36" s="13">
        <v>1.3486123888569168</v>
      </c>
      <c r="D36" s="13" t="e">
        <v>#DIV/0!</v>
      </c>
      <c r="E36" s="13">
        <v>32.748250248877312</v>
      </c>
      <c r="F36" s="13">
        <v>9.4994849635338969</v>
      </c>
      <c r="G36" s="13">
        <v>1.492898694058663</v>
      </c>
      <c r="H36" s="13">
        <v>1.7771824543664292</v>
      </c>
      <c r="I36" s="13">
        <v>1.5440658425078586</v>
      </c>
      <c r="J36" s="13">
        <v>1.8009212774003691</v>
      </c>
      <c r="K36" s="13">
        <v>1.3924099279641544</v>
      </c>
      <c r="L36" s="13">
        <v>1.4142277219837038</v>
      </c>
      <c r="M36" s="13">
        <v>8.2232886187645313</v>
      </c>
      <c r="N36" s="13">
        <v>1.4625245797776718</v>
      </c>
      <c r="O36" s="13">
        <v>1.2719026446101425</v>
      </c>
      <c r="P36" s="13">
        <v>3.146885496023224</v>
      </c>
      <c r="Q36" s="13">
        <v>3.2253937156508719</v>
      </c>
      <c r="R36" s="13">
        <v>1.76855061152233</v>
      </c>
      <c r="S36" s="17">
        <v>1.4865400306946888</v>
      </c>
      <c r="T36" s="17">
        <v>2.6837759716082243</v>
      </c>
      <c r="U36" s="17">
        <v>2.7692221874121703</v>
      </c>
      <c r="V36" s="17">
        <v>3.0370653875292968</v>
      </c>
      <c r="W36" s="17">
        <v>1.5564944367164733</v>
      </c>
      <c r="X36" s="17" t="e">
        <v>#DIV/0!</v>
      </c>
      <c r="Y36" s="17">
        <v>14.016653388361675</v>
      </c>
      <c r="Z36" s="17">
        <v>10.72566940443658</v>
      </c>
      <c r="AA36" s="17">
        <v>15.781788887775711</v>
      </c>
      <c r="AB36" s="17">
        <v>9.3968444981496404</v>
      </c>
      <c r="AC36" s="17">
        <v>2.5540809247568772</v>
      </c>
      <c r="AD36" s="17">
        <v>3.5064844567474607</v>
      </c>
      <c r="AE36" s="17">
        <v>4.4065663663868149</v>
      </c>
      <c r="AF36" s="17">
        <v>4.133102297377512</v>
      </c>
      <c r="AG36" s="17">
        <v>3.2178357411915921</v>
      </c>
      <c r="AH36" s="17">
        <v>5.3022595831994073</v>
      </c>
      <c r="AI36" s="17">
        <v>32.846599504649696</v>
      </c>
      <c r="AJ36" s="17">
        <v>37.123495538791261</v>
      </c>
      <c r="AK36" s="17">
        <v>25.344512460007788</v>
      </c>
      <c r="AL36" s="17">
        <v>10.595461010913439</v>
      </c>
    </row>
    <row r="37" spans="1:38" x14ac:dyDescent="0.3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</row>
    <row r="38" spans="1:38" x14ac:dyDescent="0.35">
      <c r="A38" s="8" t="s">
        <v>286</v>
      </c>
      <c r="B38" s="8"/>
      <c r="C38" s="8"/>
      <c r="D38" s="8"/>
      <c r="E38" s="8"/>
      <c r="F38" s="8"/>
      <c r="G38" s="8"/>
      <c r="H38" s="8" t="s">
        <v>287</v>
      </c>
      <c r="I38" s="8"/>
      <c r="J38" s="8"/>
      <c r="K38" s="8"/>
      <c r="L38" s="8"/>
      <c r="M38" s="8"/>
      <c r="N38" s="8"/>
      <c r="O38" s="8"/>
      <c r="P38" s="8"/>
      <c r="Q38" s="8"/>
      <c r="R38" s="8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</row>
    <row r="39" spans="1:38" x14ac:dyDescent="0.35">
      <c r="A39" s="10" t="s">
        <v>299</v>
      </c>
      <c r="B39" s="10">
        <v>34.700000000000003</v>
      </c>
      <c r="C39" s="26">
        <v>10532.2128415027</v>
      </c>
      <c r="D39" s="10">
        <v>338891.61659704102</v>
      </c>
      <c r="E39" s="10">
        <v>13</v>
      </c>
      <c r="F39" s="10" t="s">
        <v>278</v>
      </c>
      <c r="G39" s="26">
        <v>84334.112024537695</v>
      </c>
      <c r="H39" s="10">
        <v>2.5999999999999999E-2</v>
      </c>
      <c r="I39" s="10">
        <v>2.65</v>
      </c>
      <c r="J39" s="10">
        <v>0.22800000000000001</v>
      </c>
      <c r="K39" s="10">
        <v>0.4</v>
      </c>
      <c r="L39" s="10">
        <v>0.60899999999999999</v>
      </c>
      <c r="M39" s="10">
        <v>16</v>
      </c>
      <c r="N39" s="10">
        <v>5.0999999999999997E-2</v>
      </c>
      <c r="O39" s="10">
        <v>0.435</v>
      </c>
      <c r="P39" s="10">
        <v>0.7</v>
      </c>
      <c r="Q39" s="10">
        <v>1.33</v>
      </c>
      <c r="R39" s="10">
        <v>0.5</v>
      </c>
      <c r="S39" s="11">
        <v>0.28299999999999997</v>
      </c>
      <c r="T39" s="11">
        <v>2.8799999999999999E-2</v>
      </c>
      <c r="U39" s="11">
        <v>9.5100000000000004E-2</v>
      </c>
      <c r="V39" s="11">
        <v>1.9400000000000001E-2</v>
      </c>
      <c r="W39" s="11">
        <v>8.7900000000000006E-2</v>
      </c>
      <c r="X39" s="11" t="s">
        <v>278</v>
      </c>
      <c r="Y39" s="11" t="s">
        <v>278</v>
      </c>
      <c r="Z39" s="11">
        <v>0.98</v>
      </c>
      <c r="AA39" s="11">
        <v>1.77</v>
      </c>
      <c r="AB39" s="11">
        <v>3.5999999999999997E-2</v>
      </c>
      <c r="AC39" s="11">
        <v>3.0200000000000001E-2</v>
      </c>
      <c r="AD39" s="11">
        <v>1.18</v>
      </c>
      <c r="AE39" s="11">
        <v>1.54E-2</v>
      </c>
      <c r="AF39" s="11">
        <v>2.9899999999999999E-2</v>
      </c>
      <c r="AG39" s="11">
        <v>4.2999999999999997E-2</v>
      </c>
      <c r="AH39" s="11">
        <v>3.5999999999999999E-3</v>
      </c>
      <c r="AI39" s="11" t="s">
        <v>278</v>
      </c>
      <c r="AJ39" s="11" t="s">
        <v>278</v>
      </c>
      <c r="AK39" s="11">
        <v>1.77</v>
      </c>
      <c r="AL39" s="11">
        <v>0.189</v>
      </c>
    </row>
    <row r="40" spans="1:38" x14ac:dyDescent="0.35">
      <c r="A40" s="10" t="s">
        <v>414</v>
      </c>
      <c r="B40" s="10">
        <v>30.677113466640602</v>
      </c>
      <c r="C40" s="26">
        <v>10908.792755825967</v>
      </c>
      <c r="D40" s="10" t="s">
        <v>279</v>
      </c>
      <c r="E40" s="10">
        <v>19.833945706519369</v>
      </c>
      <c r="F40" s="10">
        <v>746.48919354746329</v>
      </c>
      <c r="G40" s="26">
        <v>90503.838816397474</v>
      </c>
      <c r="H40" s="10">
        <v>4.272713542578777</v>
      </c>
      <c r="I40" s="10">
        <v>2.3505004768403737</v>
      </c>
      <c r="J40" s="10">
        <v>0.29260467656646133</v>
      </c>
      <c r="K40" s="10">
        <v>0.42029386448548928</v>
      </c>
      <c r="L40" s="10">
        <v>0.75199890350819587</v>
      </c>
      <c r="M40" s="10">
        <v>95.348330577198638</v>
      </c>
      <c r="N40" s="10">
        <v>5.0984544952568038E-2</v>
      </c>
      <c r="O40" s="10">
        <v>0.2162233480951265</v>
      </c>
      <c r="P40" s="10">
        <v>1.2380203834979067</v>
      </c>
      <c r="Q40" s="10">
        <v>1.008081109389978</v>
      </c>
      <c r="R40" s="10">
        <v>0.43990595091210799</v>
      </c>
      <c r="S40" s="11">
        <v>0.30976890480696601</v>
      </c>
      <c r="T40" s="11">
        <v>3.0934127298234471E-2</v>
      </c>
      <c r="U40" s="11">
        <v>0.11244719911184801</v>
      </c>
      <c r="V40" s="11">
        <v>1.5121935047649767E-2</v>
      </c>
      <c r="W40" s="11">
        <v>8.4551113997493668E-2</v>
      </c>
      <c r="X40" s="11" t="s">
        <v>301</v>
      </c>
      <c r="Y40" s="11">
        <v>3.9308942984856203E-2</v>
      </c>
      <c r="Z40" s="11">
        <v>0.88500480736993437</v>
      </c>
      <c r="AA40" s="11">
        <v>1.2755847622440373</v>
      </c>
      <c r="AB40" s="11">
        <v>3.802356304840887E-2</v>
      </c>
      <c r="AC40" s="11">
        <v>3.2526722573382232E-2</v>
      </c>
      <c r="AD40" s="11">
        <v>1.0618358065028433</v>
      </c>
      <c r="AE40" s="11">
        <v>1.4642162299525001E-2</v>
      </c>
      <c r="AF40" s="11">
        <v>2.6391725820797268E-2</v>
      </c>
      <c r="AG40" s="11">
        <v>0.71440322755171026</v>
      </c>
      <c r="AH40" s="11">
        <v>7.132639585416837E-3</v>
      </c>
      <c r="AI40" s="11" t="s">
        <v>303</v>
      </c>
      <c r="AJ40" s="11" t="s">
        <v>301</v>
      </c>
      <c r="AK40" s="11">
        <v>2.4337560223536698</v>
      </c>
      <c r="AL40" s="11">
        <v>0.17511960739561236</v>
      </c>
    </row>
    <row r="41" spans="1:38" x14ac:dyDescent="0.35">
      <c r="A41" s="13" t="s">
        <v>298</v>
      </c>
      <c r="B41" s="13">
        <v>-11.593332949162537</v>
      </c>
      <c r="C41" s="13">
        <v>3.5755061162392723</v>
      </c>
      <c r="D41" s="13"/>
      <c r="E41" s="13">
        <v>52.568813127072069</v>
      </c>
      <c r="F41" s="13"/>
      <c r="G41" s="13">
        <v>7.3158140208610334</v>
      </c>
      <c r="H41" s="27">
        <v>16333.51362530299</v>
      </c>
      <c r="I41" s="13">
        <v>-11.301868798476463</v>
      </c>
      <c r="J41" s="13">
        <v>28.335384458974261</v>
      </c>
      <c r="K41" s="13">
        <v>5.0734661213723138</v>
      </c>
      <c r="L41" s="13">
        <v>23.480936536649573</v>
      </c>
      <c r="M41" s="13">
        <v>495.9270661074915</v>
      </c>
      <c r="N41" s="13">
        <v>-3.0304014572468022E-2</v>
      </c>
      <c r="O41" s="13">
        <v>-50.293483196522651</v>
      </c>
      <c r="P41" s="13">
        <v>76.860054785415244</v>
      </c>
      <c r="Q41" s="13">
        <v>-24.204427865415195</v>
      </c>
      <c r="R41" s="13">
        <v>-12.018809817578402</v>
      </c>
      <c r="S41" s="17">
        <v>9.4589769635922387</v>
      </c>
      <c r="T41" s="17">
        <v>7.4101642299808033</v>
      </c>
      <c r="U41" s="17">
        <v>18.241008529808632</v>
      </c>
      <c r="V41" s="17">
        <v>-22.051881197681613</v>
      </c>
      <c r="W41" s="17">
        <v>-3.8098816865828637</v>
      </c>
      <c r="X41" s="17"/>
      <c r="Y41" s="17"/>
      <c r="Z41" s="17">
        <v>-9.6933870030679206</v>
      </c>
      <c r="AA41" s="17">
        <v>-27.933064279997893</v>
      </c>
      <c r="AB41" s="17">
        <v>5.6210084678024259</v>
      </c>
      <c r="AC41" s="17">
        <v>7.704379382060365</v>
      </c>
      <c r="AD41" s="17">
        <v>-10.01391470314887</v>
      </c>
      <c r="AE41" s="17">
        <v>-4.9210240290584411</v>
      </c>
      <c r="AF41" s="17">
        <v>-11.73335845887201</v>
      </c>
      <c r="AG41" s="17">
        <v>1561.4028547714192</v>
      </c>
      <c r="AH41" s="17">
        <v>98.128877372689928</v>
      </c>
      <c r="AI41" s="17"/>
      <c r="AJ41" s="17"/>
      <c r="AK41" s="17">
        <v>37.500340245970044</v>
      </c>
      <c r="AL41" s="17">
        <v>-7.3441230711045735</v>
      </c>
    </row>
    <row r="42" spans="1:38" x14ac:dyDescent="0.35">
      <c r="A42" s="13" t="s">
        <v>281</v>
      </c>
      <c r="B42" s="15">
        <v>3.6918480841962782</v>
      </c>
      <c r="C42" s="15">
        <v>0.62804214504321176</v>
      </c>
      <c r="D42" s="15"/>
      <c r="E42" s="16">
        <v>33.181601135648911</v>
      </c>
      <c r="F42" s="15">
        <v>10.049276640685783</v>
      </c>
      <c r="G42" s="15">
        <v>1.1766839872058743</v>
      </c>
      <c r="H42" s="15">
        <v>54.66315945579845</v>
      </c>
      <c r="I42" s="15">
        <v>4.3323468553773647</v>
      </c>
      <c r="J42" s="15">
        <v>28.00599805655094</v>
      </c>
      <c r="K42" s="15">
        <v>66.416981098528737</v>
      </c>
      <c r="L42" s="15">
        <v>50.377075683626181</v>
      </c>
      <c r="M42" s="15">
        <v>57.023158517353664</v>
      </c>
      <c r="N42" s="15">
        <v>14.551812261163688</v>
      </c>
      <c r="O42" s="15">
        <v>20.422337773886447</v>
      </c>
      <c r="P42" s="15">
        <v>6.3668428000689374</v>
      </c>
      <c r="Q42" s="15">
        <v>6.1537956410248507</v>
      </c>
      <c r="R42" s="15">
        <v>3.128789853771357</v>
      </c>
      <c r="S42" s="18" t="s">
        <v>366</v>
      </c>
      <c r="T42" s="18">
        <v>1.798061584036837</v>
      </c>
      <c r="U42" s="18">
        <v>9.8461417274474172</v>
      </c>
      <c r="V42" s="18">
        <v>12.594048818470558</v>
      </c>
      <c r="W42" s="18">
        <v>30.524044505707081</v>
      </c>
      <c r="X42" s="18"/>
      <c r="Y42" s="18">
        <v>47.886512866900929</v>
      </c>
      <c r="Z42" s="18">
        <v>27.90730555240739</v>
      </c>
      <c r="AA42" s="18">
        <v>56.257689455870299</v>
      </c>
      <c r="AB42" s="18">
        <v>68.42968126169346</v>
      </c>
      <c r="AC42" s="18">
        <v>14.78598973483213</v>
      </c>
      <c r="AD42" s="18">
        <v>22.278014092239538</v>
      </c>
      <c r="AE42" s="18">
        <v>26.087203771605381</v>
      </c>
      <c r="AF42" s="18">
        <v>6.2581962230643144</v>
      </c>
      <c r="AG42" s="18">
        <v>158.91023593492255</v>
      </c>
      <c r="AH42" s="18">
        <v>29.439011926398429</v>
      </c>
      <c r="AI42" s="18"/>
      <c r="AJ42" s="18">
        <v>67.809789829055788</v>
      </c>
      <c r="AK42" s="18">
        <v>27.919240969009351</v>
      </c>
      <c r="AL42" s="18">
        <v>31.102715533770841</v>
      </c>
    </row>
    <row r="43" spans="1:38" x14ac:dyDescent="0.35">
      <c r="A43" s="13" t="s">
        <v>413</v>
      </c>
      <c r="B43" s="13"/>
      <c r="C43" s="13"/>
      <c r="D43" s="13"/>
      <c r="E43" s="13"/>
      <c r="F43" s="13"/>
      <c r="G43" s="13"/>
      <c r="H43" s="38">
        <f>(H40-H39)/D39</f>
        <v>1.2531185000153989E-5</v>
      </c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</row>
    <row r="44" spans="1:38" x14ac:dyDescent="0.3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</row>
    <row r="45" spans="1:38" x14ac:dyDescent="0.35">
      <c r="A45" s="8" t="s">
        <v>288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17">
        <v>0.15699292147568833</v>
      </c>
      <c r="AE45" s="17">
        <v>6.4885430376051906E-2</v>
      </c>
      <c r="AF45" s="9"/>
      <c r="AG45" s="9"/>
      <c r="AH45" s="9"/>
      <c r="AI45" s="9"/>
      <c r="AJ45" s="17">
        <v>4.1830782657706353E-3</v>
      </c>
      <c r="AK45" s="17">
        <v>2.3446452140015433E-2</v>
      </c>
      <c r="AL45" s="17">
        <v>9.3344366604900097E-3</v>
      </c>
    </row>
    <row r="46" spans="1:38" x14ac:dyDescent="0.35">
      <c r="A46" s="13" t="s">
        <v>289</v>
      </c>
      <c r="B46" s="13">
        <v>0.47494319871523499</v>
      </c>
      <c r="C46" s="13">
        <v>2.18015498783212</v>
      </c>
      <c r="D46" s="13">
        <v>351.19731966030997</v>
      </c>
      <c r="E46" s="13">
        <v>2.3430049265520498</v>
      </c>
      <c r="F46" s="13">
        <v>394722.882049412</v>
      </c>
      <c r="G46" s="13">
        <v>16.089165758848299</v>
      </c>
      <c r="H46" s="13" t="s">
        <v>290</v>
      </c>
      <c r="I46" s="13">
        <v>18.912730914312601</v>
      </c>
      <c r="J46" s="13">
        <v>8.3717493945276403E-2</v>
      </c>
      <c r="K46" s="13">
        <v>0.84848954052268799</v>
      </c>
      <c r="L46" s="13">
        <v>0.26165450850440097</v>
      </c>
      <c r="M46" s="13" t="s">
        <v>279</v>
      </c>
      <c r="N46" s="13">
        <v>5.0387351889895902</v>
      </c>
      <c r="O46" s="13">
        <v>5.8201354746555101</v>
      </c>
      <c r="P46" s="13">
        <v>367504.28407777601</v>
      </c>
      <c r="Q46" s="13">
        <v>2.6347839214261999</v>
      </c>
      <c r="R46" s="13">
        <v>0.11393877342556601</v>
      </c>
      <c r="S46" s="17">
        <v>1.9273169218881201</v>
      </c>
      <c r="T46" s="17">
        <v>2.9538451826063199E-3</v>
      </c>
      <c r="U46" s="17">
        <v>0.31754885422992002</v>
      </c>
      <c r="V46" s="17">
        <v>0.38926225784971602</v>
      </c>
      <c r="W46" s="17">
        <v>7.4185596359374995E-2</v>
      </c>
      <c r="X46" s="17">
        <v>4.0590197143747501E-2</v>
      </c>
      <c r="Y46" s="17">
        <v>1.18965632347651E-2</v>
      </c>
      <c r="Z46" s="17">
        <v>4.2783765916509502</v>
      </c>
      <c r="AA46" s="17">
        <v>0.216321661811917</v>
      </c>
      <c r="AB46" s="17">
        <v>5.86264859004808E-2</v>
      </c>
      <c r="AC46" s="17">
        <v>1.2601402248026101E-2</v>
      </c>
      <c r="AD46" s="17">
        <v>0.63986228277863</v>
      </c>
      <c r="AE46" s="17">
        <v>2.5947577320264599</v>
      </c>
      <c r="AF46" s="17">
        <v>0.109422320612389</v>
      </c>
      <c r="AG46" s="17">
        <v>0.108196272101545</v>
      </c>
      <c r="AH46" s="17">
        <v>5.1793115802937002E-2</v>
      </c>
      <c r="AI46" s="17" t="s">
        <v>290</v>
      </c>
      <c r="AJ46" s="17">
        <v>2.1301559401678901E-3</v>
      </c>
      <c r="AK46" s="17">
        <v>2.20574744903741</v>
      </c>
      <c r="AL46" s="17">
        <v>0.39001070386034098</v>
      </c>
    </row>
    <row r="47" spans="1:38" x14ac:dyDescent="0.35">
      <c r="A47" s="13" t="s">
        <v>291</v>
      </c>
      <c r="B47" s="13">
        <v>2.62341634633637</v>
      </c>
      <c r="C47" s="13">
        <v>5.9093307229319896</v>
      </c>
      <c r="D47" s="13">
        <v>64.634302843485997</v>
      </c>
      <c r="E47" s="13">
        <v>7.8279987949908403</v>
      </c>
      <c r="F47" s="13">
        <v>369102.87451234</v>
      </c>
      <c r="G47" s="13">
        <v>16.149011410422499</v>
      </c>
      <c r="H47" s="13" t="s">
        <v>290</v>
      </c>
      <c r="I47" s="13">
        <v>8.6428129628443902</v>
      </c>
      <c r="J47" s="13">
        <v>3.7899961433907399E-2</v>
      </c>
      <c r="K47" s="13">
        <v>0.75399932982252904</v>
      </c>
      <c r="L47" s="13">
        <v>0.196779457348392</v>
      </c>
      <c r="M47" s="13" t="s">
        <v>278</v>
      </c>
      <c r="N47" s="13">
        <v>5.0042678759055104</v>
      </c>
      <c r="O47" s="13">
        <v>5.5981315836409902</v>
      </c>
      <c r="P47" s="13">
        <v>342804.92891266203</v>
      </c>
      <c r="Q47" s="13">
        <v>8.8784491881220706</v>
      </c>
      <c r="R47" s="13">
        <v>0.10299349927092399</v>
      </c>
      <c r="S47" s="17">
        <v>1.0457106551464399</v>
      </c>
      <c r="T47" s="17">
        <v>2.9417163618383202E-3</v>
      </c>
      <c r="U47" s="17">
        <v>0.35426218185733299</v>
      </c>
      <c r="V47" s="17">
        <v>0.34324161528762398</v>
      </c>
      <c r="W47" s="17">
        <v>5.4651560843583802E-2</v>
      </c>
      <c r="X47" s="17">
        <v>4.5227649639166298E-2</v>
      </c>
      <c r="Y47" s="17">
        <v>2.2854185741926301E-2</v>
      </c>
      <c r="Z47" s="17">
        <v>3.16179390878299</v>
      </c>
      <c r="AA47" s="17">
        <v>0.11480325932630001</v>
      </c>
      <c r="AB47" s="17">
        <v>8.2013714220002698E-2</v>
      </c>
      <c r="AC47" s="17">
        <v>9.7920424590620201E-3</v>
      </c>
      <c r="AD47" s="17">
        <v>0.63980254379169199</v>
      </c>
      <c r="AE47" s="17">
        <v>2.5613889454277401</v>
      </c>
      <c r="AF47" s="17">
        <v>7.7948822429806094E-2</v>
      </c>
      <c r="AG47" s="17">
        <v>2.4330536253605799</v>
      </c>
      <c r="AH47" s="17">
        <v>6.7308595172590802E-2</v>
      </c>
      <c r="AI47" s="17" t="s">
        <v>290</v>
      </c>
      <c r="AJ47" s="17">
        <v>1.86739988250402E-3</v>
      </c>
      <c r="AK47" s="17">
        <v>1.74490799361287</v>
      </c>
      <c r="AL47" s="17">
        <v>0.348668592371773</v>
      </c>
    </row>
    <row r="48" spans="1:38" x14ac:dyDescent="0.35">
      <c r="A48" s="10" t="s">
        <v>277</v>
      </c>
      <c r="B48" s="10" t="s">
        <v>278</v>
      </c>
      <c r="C48" s="10" t="s">
        <v>278</v>
      </c>
      <c r="D48" s="10" t="s">
        <v>278</v>
      </c>
      <c r="E48" s="10" t="s">
        <v>278</v>
      </c>
      <c r="F48" s="10">
        <v>336900</v>
      </c>
      <c r="G48" s="10" t="s">
        <v>278</v>
      </c>
      <c r="H48" s="10" t="s">
        <v>278</v>
      </c>
      <c r="I48" s="10" t="s">
        <v>278</v>
      </c>
      <c r="J48" s="10" t="s">
        <v>278</v>
      </c>
      <c r="K48" s="10" t="s">
        <v>278</v>
      </c>
      <c r="L48" s="10" t="s">
        <v>278</v>
      </c>
      <c r="M48" s="10">
        <v>440000</v>
      </c>
      <c r="N48" s="10" t="s">
        <v>278</v>
      </c>
      <c r="O48" s="10" t="s">
        <v>278</v>
      </c>
      <c r="P48" s="10">
        <v>220000</v>
      </c>
      <c r="Q48" s="10">
        <f>38+44+35</f>
        <v>117</v>
      </c>
      <c r="R48" s="10" t="s">
        <v>278</v>
      </c>
      <c r="S48" s="11" t="s">
        <v>278</v>
      </c>
      <c r="T48" s="11" t="s">
        <v>278</v>
      </c>
      <c r="U48" s="11" t="s">
        <v>278</v>
      </c>
      <c r="V48" s="11" t="s">
        <v>278</v>
      </c>
      <c r="W48" s="11" t="s">
        <v>278</v>
      </c>
      <c r="X48" s="11" t="s">
        <v>278</v>
      </c>
      <c r="Y48" s="11" t="s">
        <v>278</v>
      </c>
      <c r="Z48" s="20"/>
      <c r="AA48" s="11" t="s">
        <v>278</v>
      </c>
      <c r="AB48" s="11" t="s">
        <v>278</v>
      </c>
      <c r="AC48" s="11" t="s">
        <v>278</v>
      </c>
      <c r="AD48" s="11" t="s">
        <v>278</v>
      </c>
      <c r="AE48" s="11" t="s">
        <v>278</v>
      </c>
      <c r="AF48" s="11" t="s">
        <v>278</v>
      </c>
      <c r="AG48" s="11" t="s">
        <v>278</v>
      </c>
      <c r="AH48" s="11" t="s">
        <v>278</v>
      </c>
      <c r="AI48" s="11" t="s">
        <v>278</v>
      </c>
      <c r="AJ48" s="11" t="s">
        <v>278</v>
      </c>
      <c r="AK48" s="11" t="s">
        <v>278</v>
      </c>
      <c r="AL48" s="11" t="s">
        <v>278</v>
      </c>
    </row>
    <row r="49" spans="1:38" x14ac:dyDescent="0.35">
      <c r="A49" s="13" t="s">
        <v>412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7"/>
      <c r="T49" s="17"/>
      <c r="U49" s="17"/>
      <c r="V49" s="17"/>
      <c r="W49" s="17"/>
      <c r="X49" s="17"/>
      <c r="Y49" s="17"/>
      <c r="Z49" s="20">
        <f>AVERAGE(Z46:Z47)/P48</f>
        <v>1.6909478410077135E-5</v>
      </c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</row>
    <row r="50" spans="1:38" x14ac:dyDescent="0.35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7"/>
      <c r="T50" s="17"/>
      <c r="U50" s="17"/>
      <c r="V50" s="17"/>
      <c r="W50" s="17"/>
      <c r="X50" s="17"/>
      <c r="Y50" s="17"/>
      <c r="Z50" s="20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</row>
    <row r="51" spans="1:38" x14ac:dyDescent="0.35">
      <c r="A51" s="8" t="s">
        <v>292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</row>
    <row r="52" spans="1:38" x14ac:dyDescent="0.35">
      <c r="A52" s="13" t="s">
        <v>293</v>
      </c>
      <c r="B52" s="13">
        <v>8.1502398828533898E-2</v>
      </c>
      <c r="C52" s="13">
        <v>0.95708904502817704</v>
      </c>
      <c r="D52" s="13">
        <v>139.85437680867199</v>
      </c>
      <c r="E52" s="13">
        <v>3.1492202068366</v>
      </c>
      <c r="F52" s="13">
        <v>301115.11998152302</v>
      </c>
      <c r="G52" s="13" t="s">
        <v>290</v>
      </c>
      <c r="H52" s="13" t="s">
        <v>290</v>
      </c>
      <c r="I52" s="13">
        <v>13.685939228553</v>
      </c>
      <c r="J52" s="13">
        <v>7.8875022912911E-2</v>
      </c>
      <c r="K52" s="13">
        <v>2.2242483401853299</v>
      </c>
      <c r="L52" s="13">
        <v>0.34295832712337398</v>
      </c>
      <c r="M52" s="13">
        <v>770.26729980363598</v>
      </c>
      <c r="N52" s="13">
        <v>1.81229002766664</v>
      </c>
      <c r="O52" s="13" t="s">
        <v>279</v>
      </c>
      <c r="P52" s="13">
        <v>32.188683175928197</v>
      </c>
      <c r="Q52" s="13">
        <v>0.95063128985415002</v>
      </c>
      <c r="R52" s="13">
        <v>1.2444244902993401E-2</v>
      </c>
      <c r="S52" s="17">
        <v>6.4938260466754397E-2</v>
      </c>
      <c r="T52" s="17">
        <v>3.02011434519677E-3</v>
      </c>
      <c r="U52" s="17">
        <v>5.0351489481536199E-2</v>
      </c>
      <c r="V52" s="17">
        <v>1.6678491815797899E-3</v>
      </c>
      <c r="W52" s="17">
        <v>2.7367783180412501E-2</v>
      </c>
      <c r="X52" s="17">
        <v>0.80146133458436997</v>
      </c>
      <c r="Y52" s="17">
        <v>1.3634387402558199</v>
      </c>
      <c r="Z52" s="17">
        <v>7.1498688509504405E-4</v>
      </c>
      <c r="AA52" s="17">
        <v>8.3957211039578702E-3</v>
      </c>
      <c r="AB52" s="17">
        <v>9.4734716190287394E-2</v>
      </c>
      <c r="AC52" s="17">
        <v>2.0319809543819501E-2</v>
      </c>
      <c r="AD52" s="17">
        <v>0.67879406379830198</v>
      </c>
      <c r="AE52" s="17" t="s">
        <v>290</v>
      </c>
      <c r="AF52" s="17">
        <v>9.3619171734017105E-4</v>
      </c>
      <c r="AG52" s="17" t="s">
        <v>290</v>
      </c>
      <c r="AH52" s="17">
        <v>1.04089418491223E-2</v>
      </c>
      <c r="AI52" s="17">
        <v>1.4749799637608601E-2</v>
      </c>
      <c r="AJ52" s="17" t="s">
        <v>290</v>
      </c>
      <c r="AK52" s="17">
        <v>2.10158638841785E-2</v>
      </c>
      <c r="AL52" s="17">
        <v>1.26077209224654E-2</v>
      </c>
    </row>
    <row r="53" spans="1:38" x14ac:dyDescent="0.35">
      <c r="A53" s="13" t="s">
        <v>294</v>
      </c>
      <c r="B53" s="13">
        <v>1.66705978763963</v>
      </c>
      <c r="C53" s="13">
        <v>2.9892700239006098</v>
      </c>
      <c r="D53" s="13">
        <v>158.097749985646</v>
      </c>
      <c r="E53" s="13" t="s">
        <v>290</v>
      </c>
      <c r="F53" s="13">
        <v>300346.81864133</v>
      </c>
      <c r="G53" s="13">
        <v>29.656857431612298</v>
      </c>
      <c r="H53" s="13" t="s">
        <v>290</v>
      </c>
      <c r="I53" s="13">
        <v>14.9733003313307</v>
      </c>
      <c r="J53" s="13">
        <v>8.9310077116081604E-2</v>
      </c>
      <c r="K53" s="13">
        <v>2.06381686038248</v>
      </c>
      <c r="L53" s="13">
        <v>0.34787633219783098</v>
      </c>
      <c r="M53" s="13">
        <v>844.21555949011099</v>
      </c>
      <c r="N53" s="13">
        <v>1.8296413542973999</v>
      </c>
      <c r="O53" s="13" t="s">
        <v>278</v>
      </c>
      <c r="P53" s="13">
        <v>34.159930225734598</v>
      </c>
      <c r="Q53" s="13">
        <v>2.4750521117669102</v>
      </c>
      <c r="R53" s="13">
        <v>2.3717485650514399E-2</v>
      </c>
      <c r="S53" s="17" t="s">
        <v>290</v>
      </c>
      <c r="T53" s="17">
        <v>4.9932124043326502E-3</v>
      </c>
      <c r="U53" s="17">
        <v>0.45536786392418199</v>
      </c>
      <c r="V53" s="17" t="s">
        <v>290</v>
      </c>
      <c r="W53" s="17">
        <v>2.0591030817448199E-2</v>
      </c>
      <c r="X53" s="17">
        <v>0.584883918059526</v>
      </c>
      <c r="Y53" s="17">
        <v>1.156959487433</v>
      </c>
      <c r="Z53" s="17">
        <v>2.0529107492366998E-3</v>
      </c>
      <c r="AA53" s="17" t="s">
        <v>290</v>
      </c>
      <c r="AB53" s="17">
        <v>8.37170743526158E-2</v>
      </c>
      <c r="AC53" s="17">
        <v>1.1314875268745301E-2</v>
      </c>
      <c r="AD53" s="17">
        <v>1.03132478801836</v>
      </c>
      <c r="AE53" s="17" t="s">
        <v>290</v>
      </c>
      <c r="AF53" s="17">
        <v>1.45638332402186E-3</v>
      </c>
      <c r="AG53" s="17">
        <v>4.0109045287183398E-2</v>
      </c>
      <c r="AH53" s="17">
        <v>1.9732693840219001E-2</v>
      </c>
      <c r="AI53" s="17" t="s">
        <v>290</v>
      </c>
      <c r="AJ53" s="17">
        <v>3.2119835388346001E-3</v>
      </c>
      <c r="AK53" s="17" t="s">
        <v>290</v>
      </c>
      <c r="AL53" s="17">
        <v>1.7270245705379599E-2</v>
      </c>
    </row>
    <row r="54" spans="1:38" x14ac:dyDescent="0.35">
      <c r="A54" s="10" t="s">
        <v>277</v>
      </c>
      <c r="B54" s="10" t="s">
        <v>278</v>
      </c>
      <c r="C54" s="10" t="s">
        <v>278</v>
      </c>
      <c r="D54" s="10" t="s">
        <v>278</v>
      </c>
      <c r="E54" s="10" t="s">
        <v>278</v>
      </c>
      <c r="F54" s="10">
        <v>280000</v>
      </c>
      <c r="G54" s="10" t="s">
        <v>278</v>
      </c>
      <c r="H54" s="10" t="s">
        <v>278</v>
      </c>
      <c r="I54" s="10" t="s">
        <v>278</v>
      </c>
      <c r="J54" s="10" t="s">
        <v>278</v>
      </c>
      <c r="K54" s="10" t="s">
        <v>278</v>
      </c>
      <c r="L54" s="10" t="s">
        <v>278</v>
      </c>
      <c r="M54" s="10"/>
      <c r="N54" s="10" t="s">
        <v>278</v>
      </c>
      <c r="O54" s="10">
        <v>720000</v>
      </c>
      <c r="P54" s="10" t="s">
        <v>278</v>
      </c>
      <c r="Q54" s="10" t="s">
        <v>278</v>
      </c>
      <c r="R54" s="10" t="s">
        <v>278</v>
      </c>
      <c r="S54" s="10" t="s">
        <v>278</v>
      </c>
      <c r="T54" s="10" t="s">
        <v>278</v>
      </c>
      <c r="U54" s="10" t="s">
        <v>278</v>
      </c>
      <c r="V54" s="10" t="s">
        <v>278</v>
      </c>
      <c r="W54" s="10" t="s">
        <v>278</v>
      </c>
      <c r="Z54" s="10" t="s">
        <v>278</v>
      </c>
      <c r="AA54" s="10" t="s">
        <v>278</v>
      </c>
      <c r="AB54" s="10" t="s">
        <v>278</v>
      </c>
      <c r="AC54" s="10" t="s">
        <v>278</v>
      </c>
      <c r="AD54" s="10" t="s">
        <v>278</v>
      </c>
      <c r="AE54" s="10" t="s">
        <v>278</v>
      </c>
      <c r="AF54" s="10" t="s">
        <v>278</v>
      </c>
      <c r="AG54" s="10" t="s">
        <v>278</v>
      </c>
      <c r="AH54" s="10" t="s">
        <v>278</v>
      </c>
      <c r="AI54" s="10" t="s">
        <v>278</v>
      </c>
      <c r="AJ54" s="10" t="s">
        <v>278</v>
      </c>
      <c r="AK54" s="10" t="s">
        <v>278</v>
      </c>
      <c r="AL54" s="10" t="s">
        <v>278</v>
      </c>
    </row>
    <row r="55" spans="1:38" x14ac:dyDescent="0.35">
      <c r="A55" s="10" t="s">
        <v>411</v>
      </c>
      <c r="X55" s="20">
        <f>AVERAGE(X52:X53)/O54</f>
        <v>9.6273975878048339E-7</v>
      </c>
      <c r="Y55" s="20">
        <f>AVERAGE(Y52:Y53)/O54</f>
        <v>1.750276547006125E-6</v>
      </c>
    </row>
    <row r="57" spans="1:38" x14ac:dyDescent="0.35">
      <c r="A57" s="8" t="s">
        <v>443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</row>
    <row r="58" spans="1:38" x14ac:dyDescent="0.35">
      <c r="A58" s="10" t="s">
        <v>299</v>
      </c>
      <c r="B58" s="26">
        <v>78360</v>
      </c>
      <c r="C58" s="26">
        <v>71309</v>
      </c>
      <c r="D58" s="10">
        <v>773</v>
      </c>
      <c r="E58" s="10" t="s">
        <v>278</v>
      </c>
      <c r="F58" s="10" t="s">
        <v>278</v>
      </c>
      <c r="G58" s="10" t="s">
        <v>278</v>
      </c>
      <c r="H58" s="10">
        <v>6.5</v>
      </c>
      <c r="I58" s="10">
        <v>1500</v>
      </c>
      <c r="J58" s="10">
        <v>790</v>
      </c>
      <c r="K58" s="10">
        <v>371330</v>
      </c>
      <c r="L58" s="10">
        <v>1359</v>
      </c>
      <c r="M58" s="10">
        <v>136985</v>
      </c>
      <c r="N58" s="10" t="s">
        <v>278</v>
      </c>
      <c r="O58" s="10">
        <v>1176</v>
      </c>
      <c r="P58" s="10">
        <v>7</v>
      </c>
      <c r="Q58" s="10">
        <v>608</v>
      </c>
      <c r="R58" s="10">
        <v>26</v>
      </c>
      <c r="S58" s="11">
        <v>1</v>
      </c>
      <c r="T58" s="11" t="s">
        <v>278</v>
      </c>
      <c r="U58" s="11">
        <v>0.5</v>
      </c>
      <c r="V58" s="11"/>
      <c r="W58" s="11" t="s">
        <v>278</v>
      </c>
      <c r="X58" s="11">
        <v>0.3</v>
      </c>
      <c r="Y58" s="11">
        <v>0.3</v>
      </c>
      <c r="Z58" s="11">
        <v>1.7000000000000001E-2</v>
      </c>
      <c r="AA58" s="11" t="s">
        <v>282</v>
      </c>
      <c r="AB58" s="11" t="s">
        <v>278</v>
      </c>
      <c r="AC58" s="11">
        <v>0.02</v>
      </c>
      <c r="AD58" s="11">
        <v>0.123</v>
      </c>
      <c r="AE58" s="11">
        <v>1.6E-2</v>
      </c>
      <c r="AF58" s="11">
        <v>3.0000000000000001E-3</v>
      </c>
      <c r="AG58" s="11" t="s">
        <v>278</v>
      </c>
      <c r="AH58" s="11" t="s">
        <v>278</v>
      </c>
      <c r="AI58" s="11">
        <v>0.02</v>
      </c>
      <c r="AJ58" s="11">
        <v>0.02</v>
      </c>
      <c r="AK58" s="11" t="s">
        <v>233</v>
      </c>
      <c r="AL58" s="11" t="s">
        <v>278</v>
      </c>
    </row>
    <row r="59" spans="1:38" x14ac:dyDescent="0.35">
      <c r="A59" s="10" t="s">
        <v>400</v>
      </c>
      <c r="B59" s="26">
        <v>70783.566872626528</v>
      </c>
      <c r="C59" s="26">
        <v>67682.653380020303</v>
      </c>
      <c r="D59" s="10">
        <v>732.7911569705866</v>
      </c>
      <c r="E59" s="10">
        <v>16.557980535429049</v>
      </c>
      <c r="F59" s="10">
        <v>399.15555400312849</v>
      </c>
      <c r="G59" s="10"/>
      <c r="H59" s="10">
        <v>7.0964973579512005</v>
      </c>
      <c r="I59" s="10">
        <v>1535.3400729093435</v>
      </c>
      <c r="J59" s="10">
        <v>767.36398474930229</v>
      </c>
      <c r="K59" s="10">
        <v>358125.87406338361</v>
      </c>
      <c r="L59" s="10">
        <v>1475.4119130703932</v>
      </c>
      <c r="M59" s="10" t="s">
        <v>279</v>
      </c>
      <c r="N59" s="10">
        <v>216.00815949385435</v>
      </c>
      <c r="O59" s="10">
        <v>1214.6321108535776</v>
      </c>
      <c r="P59" s="10">
        <v>6.8756270579231069</v>
      </c>
      <c r="Q59" s="10">
        <v>632.7477003848843</v>
      </c>
      <c r="R59" s="10">
        <v>30.615997298227768</v>
      </c>
      <c r="S59" s="11">
        <v>1.2106141981086358</v>
      </c>
      <c r="T59" s="11">
        <v>5.9557759458092399E-3</v>
      </c>
      <c r="U59" s="11">
        <v>0.37829196478558735</v>
      </c>
      <c r="V59" s="11">
        <v>0.15657348231228466</v>
      </c>
      <c r="W59" s="11">
        <v>1.2985306264862462E-2</v>
      </c>
      <c r="X59" s="11">
        <v>0.28560519303855864</v>
      </c>
      <c r="Y59" s="11">
        <v>0.27031857284372601</v>
      </c>
      <c r="Z59" s="11">
        <v>1.1006349813027805E-2</v>
      </c>
      <c r="AA59" s="11" t="s">
        <v>282</v>
      </c>
      <c r="AB59" s="11">
        <v>4.5228863035696308E-2</v>
      </c>
      <c r="AC59" s="11">
        <v>2.3814369272422867E-2</v>
      </c>
      <c r="AD59" s="11">
        <v>0.10924695466500346</v>
      </c>
      <c r="AE59" s="11">
        <v>1.9528769012770498E-2</v>
      </c>
      <c r="AF59" s="11" t="s">
        <v>305</v>
      </c>
      <c r="AG59" s="11" t="s">
        <v>304</v>
      </c>
      <c r="AH59" s="11" t="s">
        <v>233</v>
      </c>
      <c r="AI59" s="11">
        <v>2.8177475411559367E-2</v>
      </c>
      <c r="AJ59" s="11">
        <v>1.5464980350870433E-2</v>
      </c>
      <c r="AK59" s="11" t="s">
        <v>233</v>
      </c>
      <c r="AL59" s="11">
        <v>1.6622654984958633E-2</v>
      </c>
    </row>
    <row r="60" spans="1:38" x14ac:dyDescent="0.35">
      <c r="A60" s="13" t="s">
        <v>298</v>
      </c>
      <c r="B60" s="27">
        <v>-9.6687508006297502</v>
      </c>
      <c r="C60" s="27">
        <v>-5.0853982245995546</v>
      </c>
      <c r="D60" s="13">
        <v>-5.2016614527054852</v>
      </c>
      <c r="E60" s="13"/>
      <c r="F60" s="13"/>
      <c r="G60" s="13"/>
      <c r="H60" s="13">
        <v>9.1768824300184697</v>
      </c>
      <c r="I60" s="13">
        <v>2.3560048606228974</v>
      </c>
      <c r="J60" s="13">
        <v>-2.865318386164267</v>
      </c>
      <c r="K60" s="13">
        <v>-3.5559006642653128</v>
      </c>
      <c r="L60" s="13">
        <v>8.5659980184248123</v>
      </c>
      <c r="M60" s="13"/>
      <c r="N60" s="13"/>
      <c r="O60" s="13">
        <v>3.2850434399300696</v>
      </c>
      <c r="P60" s="13">
        <v>-1.776756315384187</v>
      </c>
      <c r="Q60" s="13">
        <v>4.0703454580401806</v>
      </c>
      <c r="R60" s="14">
        <v>17.753835762414489</v>
      </c>
      <c r="S60" s="17">
        <v>21.06141981086358</v>
      </c>
      <c r="T60" s="17"/>
      <c r="U60" s="17">
        <v>-24.341607042882529</v>
      </c>
      <c r="V60" s="17"/>
      <c r="W60" s="17"/>
      <c r="X60" s="17">
        <v>-4.798268987147118</v>
      </c>
      <c r="Y60" s="17">
        <v>-9.893809052091326</v>
      </c>
      <c r="Z60" s="17">
        <v>-35.2567658057188</v>
      </c>
      <c r="AA60" s="17"/>
      <c r="AB60" s="17"/>
      <c r="AC60" s="17">
        <v>19.071846362114332</v>
      </c>
      <c r="AD60" s="17">
        <v>-11.181337670728892</v>
      </c>
      <c r="AE60" s="17">
        <v>22.054806329815609</v>
      </c>
      <c r="AF60" s="17">
        <v>-69.749418970932069</v>
      </c>
      <c r="AG60" s="17"/>
      <c r="AH60" s="17"/>
      <c r="AI60" s="17">
        <v>40.887377057796833</v>
      </c>
      <c r="AJ60" s="17">
        <v>-22.675098245647838</v>
      </c>
      <c r="AK60" s="17"/>
      <c r="AL60" s="17"/>
    </row>
    <row r="61" spans="1:38" x14ac:dyDescent="0.35">
      <c r="A61" s="13" t="s">
        <v>281</v>
      </c>
      <c r="B61" s="28">
        <v>14.388154505376496</v>
      </c>
      <c r="C61" s="28">
        <v>7.2757010821874593</v>
      </c>
      <c r="D61" s="15">
        <v>373.0253779118612</v>
      </c>
      <c r="E61" s="15">
        <v>215.85027280174452</v>
      </c>
      <c r="F61" s="15">
        <v>320.42997045502608</v>
      </c>
      <c r="G61" s="15"/>
      <c r="H61" s="15">
        <v>11.175510038419436</v>
      </c>
      <c r="I61" s="15">
        <v>6.8442692824174545</v>
      </c>
      <c r="J61" s="15">
        <v>4.8321200903544126</v>
      </c>
      <c r="K61" s="15">
        <v>9.4372122454781913</v>
      </c>
      <c r="L61" s="15">
        <v>3.2052815034082913</v>
      </c>
      <c r="M61" s="15">
        <v>0</v>
      </c>
      <c r="N61" s="15">
        <v>4.183976163299068</v>
      </c>
      <c r="O61" s="15">
        <v>17.261356988581433</v>
      </c>
      <c r="P61" s="15">
        <v>26.114879561745674</v>
      </c>
      <c r="Q61" s="15">
        <v>10.524244469917532</v>
      </c>
      <c r="R61" s="15">
        <v>6.2915741642078125</v>
      </c>
      <c r="S61" s="18">
        <v>23.432070827531458</v>
      </c>
      <c r="T61" s="18">
        <v>48.492357793193804</v>
      </c>
      <c r="U61" s="18">
        <v>20.218368786478109</v>
      </c>
      <c r="V61" s="18">
        <v>24.121114615995012</v>
      </c>
      <c r="W61" s="18">
        <v>34.908113458194471</v>
      </c>
      <c r="X61" s="18">
        <v>7.266872977918637</v>
      </c>
      <c r="Y61" s="18">
        <v>10.245861736636849</v>
      </c>
      <c r="Z61" s="18">
        <v>30.944185780902977</v>
      </c>
      <c r="AA61" s="18">
        <v>54.887275534319372</v>
      </c>
      <c r="AB61" s="18">
        <v>30.752962464676109</v>
      </c>
      <c r="AC61" s="18">
        <v>18.850448228741705</v>
      </c>
      <c r="AD61" s="18">
        <v>27.699586199274524</v>
      </c>
      <c r="AE61" s="18">
        <v>24.746175738213516</v>
      </c>
      <c r="AF61" s="18">
        <v>37.647020472000726</v>
      </c>
      <c r="AG61" s="18">
        <v>34.894853305900618</v>
      </c>
      <c r="AH61" s="18">
        <v>17.668464773474867</v>
      </c>
      <c r="AI61" s="18">
        <v>24.563986576534148</v>
      </c>
      <c r="AJ61" s="18">
        <v>25.767177216150284</v>
      </c>
      <c r="AK61" s="18">
        <v>99.607219837594414</v>
      </c>
      <c r="AL61" s="18">
        <v>143.97730504155334</v>
      </c>
    </row>
  </sheetData>
  <hyperlinks>
    <hyperlink ref="B42" r:id="rId1" display="=@stdev(b140..b142)/B144*100" xr:uid="{AAEDA770-823A-4F4E-9A0E-CEB6ADCDE736}"/>
    <hyperlink ref="B24" r:id="rId2" display="=@stdev(b140..b142)/B144*100" xr:uid="{DDD8D156-46FA-4E9A-A243-4A63A63410B9}"/>
    <hyperlink ref="C24:AL24" r:id="rId3" display="=@stdev(b140..b142)/B144*100" xr:uid="{B3EA2E72-ACA3-456D-A7D8-9614629C2B92}"/>
    <hyperlink ref="B61" r:id="rId4" display="=@stdev(b140..b142)/B144*100" xr:uid="{C6550112-F563-48B4-8099-B198C40BA193}"/>
  </hyperlinks>
  <pageMargins left="0.7" right="0.7" top="0.75" bottom="0.75" header="0.3" footer="0.3"/>
  <pageSetup orientation="portrait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0161E-9550-4A62-868B-9B7996984712}">
  <dimension ref="A1:DA59"/>
  <sheetViews>
    <sheetView workbookViewId="0">
      <pane xSplit="1" ySplit="5" topLeftCell="B6" activePane="bottomRight" state="frozen"/>
      <selection pane="topRight" activeCell="B1" sqref="B1"/>
      <selection pane="bottomLeft" activeCell="A5" sqref="A5"/>
      <selection pane="bottomRight"/>
    </sheetView>
  </sheetViews>
  <sheetFormatPr defaultRowHeight="14.5" x14ac:dyDescent="0.35"/>
  <cols>
    <col min="1" max="1" width="10.90625" bestFit="1" customWidth="1"/>
    <col min="2" max="3" width="10.08984375" bestFit="1" customWidth="1"/>
    <col min="4" max="4" width="9.08984375" bestFit="1" customWidth="1"/>
    <col min="5" max="5" width="10.08984375" bestFit="1" customWidth="1"/>
    <col min="6" max="6" width="8.90625" bestFit="1" customWidth="1"/>
    <col min="7" max="8" width="9.08984375" bestFit="1" customWidth="1"/>
    <col min="9" max="9" width="12" bestFit="1" customWidth="1"/>
    <col min="10" max="13" width="8.90625" bestFit="1" customWidth="1"/>
    <col min="14" max="14" width="9.36328125" bestFit="1" customWidth="1"/>
    <col min="15" max="16" width="8.90625" bestFit="1" customWidth="1"/>
    <col min="17" max="17" width="10" bestFit="1" customWidth="1"/>
    <col min="18" max="35" width="8.90625" bestFit="1" customWidth="1"/>
  </cols>
  <sheetData>
    <row r="1" spans="1:105" ht="15.5" x14ac:dyDescent="0.35">
      <c r="A1" s="2" t="s">
        <v>451</v>
      </c>
      <c r="B1" s="2"/>
      <c r="D1" s="44" t="s">
        <v>445</v>
      </c>
      <c r="E1" s="2"/>
      <c r="F1" s="2"/>
    </row>
    <row r="2" spans="1:105" x14ac:dyDescent="0.35">
      <c r="A2" t="s">
        <v>396</v>
      </c>
      <c r="B2" t="s">
        <v>428</v>
      </c>
    </row>
    <row r="4" spans="1:105" x14ac:dyDescent="0.35">
      <c r="A4" s="22"/>
      <c r="B4" s="22" t="s">
        <v>306</v>
      </c>
      <c r="C4" s="22" t="s">
        <v>238</v>
      </c>
      <c r="D4" s="22" t="s">
        <v>239</v>
      </c>
      <c r="E4" s="22" t="s">
        <v>240</v>
      </c>
      <c r="F4" s="22" t="s">
        <v>241</v>
      </c>
      <c r="G4" s="22" t="s">
        <v>307</v>
      </c>
      <c r="H4" s="22" t="s">
        <v>243</v>
      </c>
      <c r="I4" s="22" t="s">
        <v>244</v>
      </c>
      <c r="J4" s="22" t="s">
        <v>245</v>
      </c>
      <c r="K4" s="22" t="s">
        <v>246</v>
      </c>
      <c r="L4" s="22" t="s">
        <v>247</v>
      </c>
      <c r="M4" s="22" t="s">
        <v>248</v>
      </c>
      <c r="N4" s="22" t="s">
        <v>368</v>
      </c>
      <c r="O4" s="22" t="s">
        <v>250</v>
      </c>
      <c r="P4" s="22" t="s">
        <v>251</v>
      </c>
      <c r="Q4" s="22" t="s">
        <v>252</v>
      </c>
      <c r="R4" s="22" t="s">
        <v>253</v>
      </c>
      <c r="S4" s="22" t="s">
        <v>254</v>
      </c>
      <c r="T4" s="22" t="s">
        <v>256</v>
      </c>
      <c r="U4" s="22" t="s">
        <v>257</v>
      </c>
      <c r="V4" s="22" t="s">
        <v>258</v>
      </c>
      <c r="W4" s="22" t="s">
        <v>266</v>
      </c>
      <c r="X4" s="22" t="s">
        <v>369</v>
      </c>
      <c r="Y4" s="22" t="s">
        <v>308</v>
      </c>
      <c r="Z4" s="22" t="s">
        <v>309</v>
      </c>
      <c r="AA4" s="22" t="s">
        <v>310</v>
      </c>
      <c r="AB4" s="22" t="s">
        <v>311</v>
      </c>
      <c r="AC4" s="22" t="s">
        <v>312</v>
      </c>
      <c r="AD4" s="22" t="s">
        <v>313</v>
      </c>
      <c r="AE4" s="22" t="s">
        <v>314</v>
      </c>
      <c r="AF4" s="22" t="s">
        <v>267</v>
      </c>
      <c r="AG4" s="22" t="s">
        <v>268</v>
      </c>
      <c r="AH4" s="22" t="s">
        <v>269</v>
      </c>
      <c r="AI4" s="22" t="s">
        <v>370</v>
      </c>
    </row>
    <row r="6" spans="1:105" x14ac:dyDescent="0.35">
      <c r="A6" s="22" t="s">
        <v>275</v>
      </c>
      <c r="B6" s="21" t="s">
        <v>427</v>
      </c>
      <c r="C6" s="21" t="s">
        <v>427</v>
      </c>
      <c r="D6" s="21" t="s">
        <v>427</v>
      </c>
      <c r="E6" s="21" t="s">
        <v>427</v>
      </c>
      <c r="F6" s="21" t="s">
        <v>427</v>
      </c>
      <c r="G6" s="21" t="s">
        <v>427</v>
      </c>
      <c r="H6" s="21" t="s">
        <v>427</v>
      </c>
      <c r="I6" s="21" t="s">
        <v>427</v>
      </c>
      <c r="J6" s="21" t="s">
        <v>427</v>
      </c>
      <c r="K6" s="21" t="s">
        <v>427</v>
      </c>
      <c r="L6" s="21" t="s">
        <v>427</v>
      </c>
      <c r="M6" s="21" t="s">
        <v>427</v>
      </c>
      <c r="N6" s="21" t="s">
        <v>427</v>
      </c>
      <c r="O6" s="21" t="s">
        <v>427</v>
      </c>
      <c r="P6" s="21" t="s">
        <v>427</v>
      </c>
      <c r="Q6" s="21" t="s">
        <v>427</v>
      </c>
      <c r="R6" s="21" t="s">
        <v>427</v>
      </c>
      <c r="S6" s="21" t="s">
        <v>427</v>
      </c>
      <c r="T6" s="21" t="s">
        <v>427</v>
      </c>
      <c r="U6" s="21" t="s">
        <v>427</v>
      </c>
      <c r="V6" s="21" t="s">
        <v>427</v>
      </c>
      <c r="W6" s="21" t="s">
        <v>427</v>
      </c>
      <c r="X6" s="21" t="s">
        <v>427</v>
      </c>
      <c r="Y6" s="21" t="s">
        <v>427</v>
      </c>
      <c r="Z6" s="21" t="s">
        <v>427</v>
      </c>
      <c r="AA6" s="21" t="s">
        <v>427</v>
      </c>
      <c r="AB6" s="21" t="s">
        <v>427</v>
      </c>
      <c r="AC6" s="21" t="s">
        <v>427</v>
      </c>
      <c r="AD6" s="21" t="s">
        <v>427</v>
      </c>
      <c r="AE6" s="21" t="s">
        <v>427</v>
      </c>
      <c r="AF6" s="21" t="s">
        <v>427</v>
      </c>
      <c r="AG6" s="21" t="s">
        <v>427</v>
      </c>
      <c r="AH6" s="21" t="s">
        <v>427</v>
      </c>
      <c r="AI6" s="21" t="s">
        <v>427</v>
      </c>
    </row>
    <row r="7" spans="1:105" x14ac:dyDescent="0.35">
      <c r="A7" t="s">
        <v>424</v>
      </c>
      <c r="B7" s="3">
        <v>28066.441780046767</v>
      </c>
      <c r="C7" s="3">
        <v>21821.249533225029</v>
      </c>
      <c r="D7" s="3">
        <v>71208.549279464176</v>
      </c>
      <c r="E7" s="3">
        <v>259855.45961657434</v>
      </c>
      <c r="F7" s="3">
        <v>32.107650710506</v>
      </c>
      <c r="G7" s="3">
        <v>22327.442768027631</v>
      </c>
      <c r="H7" s="3">
        <v>54115.043556980199</v>
      </c>
      <c r="I7" s="3">
        <v>538.4298227075343</v>
      </c>
      <c r="J7" s="3">
        <v>454.62648781827301</v>
      </c>
      <c r="K7" s="3">
        <v>445.36237601736633</v>
      </c>
      <c r="L7" s="3">
        <v>397.31731126940696</v>
      </c>
      <c r="M7" s="3">
        <v>601.71732010409323</v>
      </c>
      <c r="N7" s="3">
        <v>102060.55481568561</v>
      </c>
      <c r="O7" s="3">
        <v>401.25074559331568</v>
      </c>
      <c r="P7" s="3">
        <v>458.00613691416766</v>
      </c>
      <c r="Q7" s="3">
        <v>390.02279892668366</v>
      </c>
      <c r="R7" s="3">
        <v>472.99434575691066</v>
      </c>
      <c r="S7" s="3">
        <v>515.4492861472703</v>
      </c>
      <c r="T7" s="3">
        <v>429.19188478764903</v>
      </c>
      <c r="U7" s="3">
        <v>423.14870135730263</v>
      </c>
      <c r="V7" s="3">
        <v>439.05676859854174</v>
      </c>
      <c r="W7" s="3">
        <v>330.39536039962701</v>
      </c>
      <c r="X7" s="3">
        <v>407.29042800369433</v>
      </c>
      <c r="Y7" s="3">
        <v>429.34589654874895</v>
      </c>
      <c r="Z7" s="3">
        <v>467.47976639625267</v>
      </c>
      <c r="AA7" s="3">
        <v>502.67394662219903</v>
      </c>
      <c r="AB7" s="3">
        <v>423.8328180906563</v>
      </c>
      <c r="AC7" s="3">
        <v>532.14468134479728</v>
      </c>
      <c r="AD7" s="3">
        <v>653.27993761851167</v>
      </c>
      <c r="AE7" s="3">
        <v>539.94937500016295</v>
      </c>
      <c r="AF7" s="3">
        <v>420.34829407306137</v>
      </c>
      <c r="AG7" s="3">
        <v>417.02700683406601</v>
      </c>
      <c r="AH7" s="3">
        <v>436.34327105836002</v>
      </c>
      <c r="AI7" s="3">
        <v>403.61528712748503</v>
      </c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</row>
    <row r="8" spans="1:105" x14ac:dyDescent="0.35">
      <c r="A8" t="s">
        <v>296</v>
      </c>
      <c r="B8" s="3">
        <v>5.378144849213947</v>
      </c>
      <c r="C8" s="3">
        <v>4.3223590605226745</v>
      </c>
      <c r="D8" s="3">
        <v>4.0811225773251643</v>
      </c>
      <c r="E8" s="3">
        <v>1.7789997025390156</v>
      </c>
      <c r="F8" s="3">
        <v>4.5003998925433155</v>
      </c>
      <c r="G8" s="3">
        <v>4.4806916987053365</v>
      </c>
      <c r="H8" s="3">
        <v>2.6659222783421628</v>
      </c>
      <c r="I8" s="3">
        <v>0.17499414773152402</v>
      </c>
      <c r="J8" s="3">
        <v>0.85488951200299157</v>
      </c>
      <c r="K8" s="3">
        <v>0.8679749946290658</v>
      </c>
      <c r="L8" s="3">
        <v>0.81576941799912683</v>
      </c>
      <c r="M8" s="3">
        <v>0.87643871043880572</v>
      </c>
      <c r="N8" s="3">
        <v>4.3298360168320258</v>
      </c>
      <c r="O8" s="3">
        <v>1.0438750205070022</v>
      </c>
      <c r="P8" s="3">
        <v>1.9050631747680176</v>
      </c>
      <c r="Q8" s="3">
        <v>1.3479093560573563</v>
      </c>
      <c r="R8" s="3">
        <v>1.1819563539948781</v>
      </c>
      <c r="S8" s="3">
        <v>0.31453999157796619</v>
      </c>
      <c r="T8" s="3">
        <v>1.0614521637113667</v>
      </c>
      <c r="U8" s="3">
        <v>0.90482715142810466</v>
      </c>
      <c r="V8" s="3">
        <v>0.90626578736643826</v>
      </c>
      <c r="W8" s="3">
        <v>2.483709994427568</v>
      </c>
      <c r="X8" s="3">
        <v>1.0442426709920409</v>
      </c>
      <c r="Y8" s="3">
        <v>0.99250200170314662</v>
      </c>
      <c r="Z8" s="3">
        <v>0.75719311579575499</v>
      </c>
      <c r="AA8" s="3">
        <v>0.91063293411421853</v>
      </c>
      <c r="AB8" s="3">
        <v>1.3733897307235314</v>
      </c>
      <c r="AC8" s="3">
        <v>0.4449605637093057</v>
      </c>
      <c r="AD8" s="3">
        <v>3.6340481402020779</v>
      </c>
      <c r="AE8" s="3">
        <v>1.4876253055932093E-2</v>
      </c>
      <c r="AF8" s="3">
        <v>1.2213704535317074</v>
      </c>
      <c r="AG8" s="3">
        <v>1.3742056849375917</v>
      </c>
      <c r="AH8" s="3">
        <v>1.6655926403019317</v>
      </c>
      <c r="AI8" s="3">
        <v>3.7786643436935727</v>
      </c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</row>
    <row r="9" spans="1:105" x14ac:dyDescent="0.35">
      <c r="A9" t="s">
        <v>426</v>
      </c>
      <c r="B9" s="3">
        <v>-2.993710278209464</v>
      </c>
      <c r="C9" s="3">
        <v>3.3868851780740803</v>
      </c>
      <c r="D9" s="3">
        <v>3.4956837590354284</v>
      </c>
      <c r="E9" s="3">
        <v>3.5227098264131111</v>
      </c>
      <c r="F9" s="3">
        <v>-54.131927556420003</v>
      </c>
      <c r="G9" s="3">
        <v>3.4448953526824608</v>
      </c>
      <c r="H9" s="3">
        <v>2.321240138445448</v>
      </c>
      <c r="I9" s="3">
        <v>1.5905325863272264</v>
      </c>
      <c r="J9" s="3">
        <v>1.1380117101189917</v>
      </c>
      <c r="K9" s="3">
        <v>1.2187218221287113</v>
      </c>
      <c r="L9" s="3">
        <v>-0.67067218264826067</v>
      </c>
      <c r="M9" s="3">
        <v>1.9859864583208868</v>
      </c>
      <c r="N9" s="3">
        <v>3.3859628595449762</v>
      </c>
      <c r="O9" s="3">
        <v>5.5923014719251807</v>
      </c>
      <c r="P9" s="3">
        <v>4.0923038441290123</v>
      </c>
      <c r="Q9" s="3">
        <v>2.6375786649167532</v>
      </c>
      <c r="R9" s="3">
        <v>2.8248577732414479</v>
      </c>
      <c r="S9" s="3">
        <v>5.1937318667898573</v>
      </c>
      <c r="T9" s="3">
        <v>4.6809475091826904</v>
      </c>
      <c r="U9" s="3">
        <v>3.2070003310494215</v>
      </c>
      <c r="V9" s="3">
        <v>4.5373258567956514</v>
      </c>
      <c r="W9" s="3">
        <v>17.998342999866789</v>
      </c>
      <c r="X9" s="3">
        <v>3.9006193886975336</v>
      </c>
      <c r="Y9" s="3">
        <v>3.7067382967992639</v>
      </c>
      <c r="Z9" s="3">
        <v>3.1964164230138348</v>
      </c>
      <c r="AA9" s="3">
        <v>3.0069562750407837</v>
      </c>
      <c r="AB9" s="3">
        <v>3.3738580708917811</v>
      </c>
      <c r="AC9" s="3">
        <v>3.5300936468477193</v>
      </c>
      <c r="AD9" s="3">
        <v>9.794947498909524</v>
      </c>
      <c r="AE9" s="3">
        <v>4.2373310811125382</v>
      </c>
      <c r="AF9" s="3">
        <v>6.4172896387497138</v>
      </c>
      <c r="AG9" s="3">
        <v>6.9300017523246185</v>
      </c>
      <c r="AH9" s="3">
        <v>1.4751793158976785</v>
      </c>
      <c r="AI9" s="3">
        <v>6.214549244075009</v>
      </c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</row>
    <row r="10" spans="1:105" x14ac:dyDescent="0.35">
      <c r="A10" s="23" t="s">
        <v>425</v>
      </c>
      <c r="B10" s="39">
        <v>28932.6</v>
      </c>
      <c r="C10" s="39">
        <v>21106.400000000001</v>
      </c>
      <c r="D10" s="39">
        <v>68803.399999999994</v>
      </c>
      <c r="E10" s="39">
        <v>251013</v>
      </c>
      <c r="F10" s="39">
        <v>70</v>
      </c>
      <c r="G10" s="39">
        <v>21583.9</v>
      </c>
      <c r="H10" s="39">
        <v>52887.4</v>
      </c>
      <c r="I10" s="39">
        <v>530</v>
      </c>
      <c r="J10" s="39">
        <v>449.51100000000002</v>
      </c>
      <c r="K10" s="39">
        <v>440</v>
      </c>
      <c r="L10" s="39">
        <v>400</v>
      </c>
      <c r="M10" s="39">
        <v>590</v>
      </c>
      <c r="N10" s="39">
        <v>98718</v>
      </c>
      <c r="O10" s="39">
        <v>380</v>
      </c>
      <c r="P10" s="39">
        <v>440</v>
      </c>
      <c r="Q10" s="39">
        <v>380</v>
      </c>
      <c r="R10" s="39">
        <v>460</v>
      </c>
      <c r="S10" s="39">
        <v>490</v>
      </c>
      <c r="T10" s="39">
        <v>410</v>
      </c>
      <c r="U10" s="39">
        <v>410</v>
      </c>
      <c r="V10" s="39">
        <v>420</v>
      </c>
      <c r="W10" s="39">
        <v>280</v>
      </c>
      <c r="X10" s="39">
        <v>392</v>
      </c>
      <c r="Y10" s="39">
        <v>414</v>
      </c>
      <c r="Z10" s="39">
        <v>453</v>
      </c>
      <c r="AA10" s="39">
        <v>488</v>
      </c>
      <c r="AB10" s="39">
        <v>410</v>
      </c>
      <c r="AC10" s="39">
        <v>514</v>
      </c>
      <c r="AD10" s="39">
        <v>595</v>
      </c>
      <c r="AE10" s="39">
        <v>518</v>
      </c>
      <c r="AF10" s="39">
        <v>395</v>
      </c>
      <c r="AG10" s="39">
        <v>390</v>
      </c>
      <c r="AH10" s="39">
        <v>430</v>
      </c>
      <c r="AI10" s="39">
        <v>380</v>
      </c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</row>
    <row r="11" spans="1:105" x14ac:dyDescent="0.35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</row>
    <row r="12" spans="1:105" x14ac:dyDescent="0.35">
      <c r="A12" s="22" t="s">
        <v>315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</row>
    <row r="13" spans="1:105" x14ac:dyDescent="0.35">
      <c r="A13" t="s">
        <v>424</v>
      </c>
      <c r="B13" s="3">
        <v>103366.01633482466</v>
      </c>
      <c r="C13" s="3">
        <v>523.41791976822333</v>
      </c>
      <c r="D13" s="3">
        <v>10067.880104326099</v>
      </c>
      <c r="E13" s="3">
        <v>335999.18515539699</v>
      </c>
      <c r="F13" s="3">
        <v>434.02373333772238</v>
      </c>
      <c r="G13" s="3">
        <v>494.98927050691765</v>
      </c>
      <c r="H13" s="3">
        <v>84576.265696241171</v>
      </c>
      <c r="I13" s="3">
        <v>481.01856265492165</v>
      </c>
      <c r="J13" s="3">
        <v>477.11077305084103</v>
      </c>
      <c r="K13" s="3">
        <v>474.58773788644663</v>
      </c>
      <c r="L13" s="3">
        <v>437.74535025265868</v>
      </c>
      <c r="M13" s="3">
        <v>469.84102646977664</v>
      </c>
      <c r="N13" s="3">
        <v>491.07616851844568</v>
      </c>
      <c r="O13" s="3">
        <v>415.54897044483533</v>
      </c>
      <c r="P13" s="3">
        <v>469.08162935348872</v>
      </c>
      <c r="Q13" s="3">
        <v>458.15935569924363</v>
      </c>
      <c r="R13" s="3">
        <v>476.29239438333997</v>
      </c>
      <c r="S13" s="3">
        <v>438.11034486587204</v>
      </c>
      <c r="T13" s="3">
        <v>473.13996740564335</v>
      </c>
      <c r="U13" s="3">
        <v>464.13503663642399</v>
      </c>
      <c r="V13" s="3">
        <v>476.84797775404633</v>
      </c>
      <c r="W13" s="3">
        <v>418.01878797068838</v>
      </c>
      <c r="X13" s="3">
        <v>453.15117530869469</v>
      </c>
      <c r="Y13" s="3">
        <v>467.03099320244104</v>
      </c>
      <c r="Z13" s="3">
        <v>444.51556616249701</v>
      </c>
      <c r="AA13" s="3">
        <v>468.82043334104736</v>
      </c>
      <c r="AB13" s="3">
        <v>461.7364048043757</v>
      </c>
      <c r="AC13" s="3">
        <v>462.27709100690601</v>
      </c>
      <c r="AD13" s="3">
        <v>419.09101360238805</v>
      </c>
      <c r="AE13" s="3">
        <v>448.448427012938</v>
      </c>
      <c r="AF13" s="3">
        <v>438.792115715828</v>
      </c>
      <c r="AG13" s="3">
        <v>449.17009341721831</v>
      </c>
      <c r="AH13" s="3">
        <v>466.62053994272372</v>
      </c>
      <c r="AI13" s="3">
        <v>463.49793778128696</v>
      </c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</row>
    <row r="14" spans="1:105" x14ac:dyDescent="0.35">
      <c r="A14" t="s">
        <v>296</v>
      </c>
      <c r="B14" s="3">
        <v>2.4654822375188838</v>
      </c>
      <c r="C14" s="3">
        <v>6.7601673376394364</v>
      </c>
      <c r="D14" s="3">
        <v>6.3351716841835977</v>
      </c>
      <c r="E14" s="3">
        <v>0.35387164793673576</v>
      </c>
      <c r="F14" s="3">
        <v>3.1024539954989669</v>
      </c>
      <c r="G14" s="3">
        <v>8.1536824178629228</v>
      </c>
      <c r="H14" s="3">
        <v>0.38834308516966393</v>
      </c>
      <c r="I14" s="3">
        <v>2.1921423679731511</v>
      </c>
      <c r="J14" s="3">
        <v>1.4405472994747897</v>
      </c>
      <c r="K14" s="3">
        <v>1.4189270796041873</v>
      </c>
      <c r="L14" s="3">
        <v>1.2689567552825121</v>
      </c>
      <c r="M14" s="3">
        <v>2.7024618998769325</v>
      </c>
      <c r="N14" s="3">
        <v>6.8072796333395109</v>
      </c>
      <c r="O14" s="3">
        <v>1.3858545590794291</v>
      </c>
      <c r="P14" s="3">
        <v>1.9477046277636394</v>
      </c>
      <c r="Q14" s="3">
        <v>0.90642081603528146</v>
      </c>
      <c r="R14" s="3">
        <v>1.5249894794359689</v>
      </c>
      <c r="S14" s="3">
        <v>2.230940194934425</v>
      </c>
      <c r="T14" s="3">
        <v>0.94192425385654066</v>
      </c>
      <c r="U14" s="3">
        <v>0.95217714483951532</v>
      </c>
      <c r="V14" s="3">
        <v>1.0538424352662223</v>
      </c>
      <c r="W14" s="3">
        <v>0.14899458632719179</v>
      </c>
      <c r="X14" s="3">
        <v>0.98062893973308163</v>
      </c>
      <c r="Y14" s="3">
        <v>1.2180817030084048</v>
      </c>
      <c r="Z14" s="3">
        <v>2.1109774010898343</v>
      </c>
      <c r="AA14" s="3">
        <v>2.3275149032177893</v>
      </c>
      <c r="AB14" s="3">
        <v>1.409629173265134</v>
      </c>
      <c r="AC14" s="3">
        <v>2.5549192357459916</v>
      </c>
      <c r="AD14" s="3">
        <v>5.4312884740781211</v>
      </c>
      <c r="AE14" s="3">
        <v>2.5080511174491753</v>
      </c>
      <c r="AF14" s="3">
        <v>1.2831302508699578</v>
      </c>
      <c r="AG14" s="3">
        <v>1.1946424497771879</v>
      </c>
      <c r="AH14" s="3">
        <v>1.9020714926418325</v>
      </c>
      <c r="AI14" s="3">
        <v>2.3817561210260862</v>
      </c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</row>
    <row r="15" spans="1:105" x14ac:dyDescent="0.35">
      <c r="A15" t="s">
        <v>426</v>
      </c>
      <c r="B15" s="3">
        <v>3.9799738221216137</v>
      </c>
      <c r="C15" s="3">
        <v>21.161555501903546</v>
      </c>
      <c r="D15" s="3">
        <v>-2.4478438057766305</v>
      </c>
      <c r="E15" s="3">
        <v>3.1294323094893772</v>
      </c>
      <c r="F15" s="3">
        <v>5.0904923335889531</v>
      </c>
      <c r="G15" s="3">
        <v>6.6787220920081145</v>
      </c>
      <c r="H15" s="3">
        <v>3.8059829702281327</v>
      </c>
      <c r="I15" s="3">
        <v>5.7183654186640993</v>
      </c>
      <c r="J15" s="3">
        <v>5.5554807634604053</v>
      </c>
      <c r="K15" s="3">
        <v>5.463941752543696</v>
      </c>
      <c r="L15" s="3">
        <v>7.290527022710461</v>
      </c>
      <c r="M15" s="3">
        <v>5.8200510067064499</v>
      </c>
      <c r="N15" s="3">
        <v>7.2218708555558262</v>
      </c>
      <c r="O15" s="3">
        <v>1.3534074255695936</v>
      </c>
      <c r="P15" s="3">
        <v>2.2632721503136546</v>
      </c>
      <c r="Q15" s="3">
        <v>3.8910103626402801</v>
      </c>
      <c r="R15" s="3">
        <v>3.5418248659434717</v>
      </c>
      <c r="S15" s="3">
        <v>1.1802182138272601</v>
      </c>
      <c r="T15" s="3">
        <v>2.4112483561998586</v>
      </c>
      <c r="U15" s="3">
        <v>3.6015706777732124</v>
      </c>
      <c r="V15" s="3">
        <v>2.5479522051712529</v>
      </c>
      <c r="W15" s="3">
        <v>-2.7863283789096793</v>
      </c>
      <c r="X15" s="3">
        <v>2.9889034792487932</v>
      </c>
      <c r="Y15" s="3">
        <v>3.0973494928125915</v>
      </c>
      <c r="Z15" s="3">
        <v>3.3757130610458161</v>
      </c>
      <c r="AA15" s="3">
        <v>3.4923693909596829</v>
      </c>
      <c r="AB15" s="3">
        <v>3.2967348555650324</v>
      </c>
      <c r="AC15" s="3">
        <v>2.9570358589991104</v>
      </c>
      <c r="AD15" s="3">
        <v>-7.8920849225520779</v>
      </c>
      <c r="AE15" s="3">
        <v>2.152261278573576</v>
      </c>
      <c r="AF15" s="3">
        <v>0.87175073927080549</v>
      </c>
      <c r="AG15" s="3">
        <v>0.71078327740320868</v>
      </c>
      <c r="AH15" s="3">
        <v>5.0947162033161542</v>
      </c>
      <c r="AI15" s="3">
        <v>1.377501701943783</v>
      </c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</row>
    <row r="16" spans="1:105" x14ac:dyDescent="0.35">
      <c r="A16" s="23" t="s">
        <v>425</v>
      </c>
      <c r="B16" s="39">
        <v>99409.542564083298</v>
      </c>
      <c r="C16" s="39">
        <v>432</v>
      </c>
      <c r="D16" s="39">
        <v>10320.5100708192</v>
      </c>
      <c r="E16" s="39">
        <v>325803.38864570699</v>
      </c>
      <c r="F16" s="39">
        <v>413</v>
      </c>
      <c r="G16" s="39">
        <v>464</v>
      </c>
      <c r="H16" s="39">
        <v>81475.328566078795</v>
      </c>
      <c r="I16" s="39">
        <v>455</v>
      </c>
      <c r="J16" s="39">
        <v>452</v>
      </c>
      <c r="K16" s="39">
        <v>450</v>
      </c>
      <c r="L16" s="39">
        <v>408</v>
      </c>
      <c r="M16" s="39">
        <v>444</v>
      </c>
      <c r="N16" s="39">
        <v>458</v>
      </c>
      <c r="O16" s="39">
        <v>410</v>
      </c>
      <c r="P16" s="39">
        <v>458.7</v>
      </c>
      <c r="Q16" s="39">
        <v>441</v>
      </c>
      <c r="R16" s="39">
        <v>460</v>
      </c>
      <c r="S16" s="39">
        <v>433</v>
      </c>
      <c r="T16" s="39">
        <v>462</v>
      </c>
      <c r="U16" s="39">
        <v>448</v>
      </c>
      <c r="V16" s="39">
        <v>465</v>
      </c>
      <c r="W16" s="39">
        <v>430</v>
      </c>
      <c r="X16" s="39">
        <v>440</v>
      </c>
      <c r="Y16" s="39">
        <v>453</v>
      </c>
      <c r="Z16" s="39">
        <v>430</v>
      </c>
      <c r="AA16" s="39">
        <v>453</v>
      </c>
      <c r="AB16" s="39">
        <v>447</v>
      </c>
      <c r="AC16" s="39">
        <v>449</v>
      </c>
      <c r="AD16" s="39">
        <v>455</v>
      </c>
      <c r="AE16" s="39">
        <v>439</v>
      </c>
      <c r="AF16" s="39">
        <v>435</v>
      </c>
      <c r="AG16" s="39">
        <v>446</v>
      </c>
      <c r="AH16" s="39">
        <v>444</v>
      </c>
      <c r="AI16" s="39">
        <v>457.2</v>
      </c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</row>
    <row r="17" spans="1:105" x14ac:dyDescent="0.35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</row>
    <row r="18" spans="1:105" x14ac:dyDescent="0.35">
      <c r="A18" s="22" t="s">
        <v>286</v>
      </c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</row>
    <row r="19" spans="1:105" x14ac:dyDescent="0.35">
      <c r="A19" t="s">
        <v>424</v>
      </c>
      <c r="B19" s="3">
        <v>101731.06315561496</v>
      </c>
      <c r="C19" s="3">
        <v>27.480121997498568</v>
      </c>
      <c r="D19" s="3">
        <v>10179.661611952557</v>
      </c>
      <c r="E19" s="3">
        <v>339205.58832973265</v>
      </c>
      <c r="F19" s="3">
        <v>6.0304810273962</v>
      </c>
      <c r="G19" s="3">
        <v>34.970517990449629</v>
      </c>
      <c r="H19" s="3">
        <v>84221.463829419299</v>
      </c>
      <c r="I19" s="3">
        <v>0.35677281054231802</v>
      </c>
      <c r="J19" s="3">
        <v>2.8709896880105732</v>
      </c>
      <c r="K19" s="3">
        <v>0.20872861270165566</v>
      </c>
      <c r="L19" s="3">
        <v>0.32193839876793229</v>
      </c>
      <c r="M19" s="3">
        <v>0.47754737426829469</v>
      </c>
      <c r="N19" s="3">
        <v>12.296646239319372</v>
      </c>
      <c r="O19" s="3">
        <v>2.9961286174961767E-2</v>
      </c>
      <c r="P19" s="3">
        <v>0.29140559067609134</v>
      </c>
      <c r="Q19" s="3">
        <v>2.7285182614934533</v>
      </c>
      <c r="R19" s="3">
        <v>1.79860618692622</v>
      </c>
      <c r="S19" s="7">
        <v>0.39638331349177269</v>
      </c>
      <c r="T19" s="7">
        <v>2.6922436616018036E-2</v>
      </c>
      <c r="U19" s="7">
        <v>0.14287408622459066</v>
      </c>
      <c r="V19" s="7">
        <v>2.0853174380865133E-2</v>
      </c>
      <c r="W19" s="7">
        <v>1.0099731077382277</v>
      </c>
      <c r="X19" s="7">
        <v>2.9295233752466732E-2</v>
      </c>
      <c r="Y19" s="7">
        <v>2.8905378075677168E-2</v>
      </c>
      <c r="Z19" s="7">
        <v>1.8667781615322499E-2</v>
      </c>
      <c r="AA19" s="7">
        <v>1.5688744463095601E-2</v>
      </c>
      <c r="AB19" s="7">
        <v>1.4462236474570801E-2</v>
      </c>
      <c r="AC19" s="7">
        <v>1.4906790281123501E-2</v>
      </c>
      <c r="AD19" s="7">
        <v>1.31463584183524E-2</v>
      </c>
      <c r="AE19" s="7">
        <v>1.3310620444725202E-2</v>
      </c>
      <c r="AF19" s="7">
        <v>1.6556704102522232E-2</v>
      </c>
      <c r="AG19" s="7">
        <v>3.2731504927370897E-2</v>
      </c>
      <c r="AH19" s="7">
        <v>4.8350538055432858E-2</v>
      </c>
      <c r="AI19" s="7">
        <v>2.3091543982805631E-2</v>
      </c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</row>
    <row r="20" spans="1:105" x14ac:dyDescent="0.35">
      <c r="A20" t="s">
        <v>296</v>
      </c>
      <c r="B20" s="3">
        <v>2.4675881084898124</v>
      </c>
      <c r="C20" s="3">
        <v>5.6297981520565896</v>
      </c>
      <c r="D20" s="3">
        <v>6.3863072164261316</v>
      </c>
      <c r="E20" s="3">
        <v>0.37635255689277003</v>
      </c>
      <c r="F20" s="3">
        <v>21.552781998042775</v>
      </c>
      <c r="G20" s="3">
        <v>10.13214645708797</v>
      </c>
      <c r="H20" s="3">
        <v>0.51203083825677131</v>
      </c>
      <c r="I20" s="3">
        <v>51.197544729732144</v>
      </c>
      <c r="J20" s="3">
        <v>51.107021118979333</v>
      </c>
      <c r="K20" s="3">
        <v>0.61560265525972491</v>
      </c>
      <c r="L20" s="3">
        <v>38.999185199198372</v>
      </c>
      <c r="M20" s="3">
        <v>37.235491918917752</v>
      </c>
      <c r="N20" s="3">
        <v>29.805976295571362</v>
      </c>
      <c r="O20" s="3">
        <v>7.7140468667393574</v>
      </c>
      <c r="P20" s="3">
        <v>1.335807339792692</v>
      </c>
      <c r="Q20" s="3">
        <v>1.0438815905169354</v>
      </c>
      <c r="R20" s="3">
        <v>8.7435674583340095</v>
      </c>
      <c r="S20" s="3">
        <v>1.1490490193984249</v>
      </c>
      <c r="T20" s="3">
        <v>0.13842843611137401</v>
      </c>
      <c r="U20" s="3">
        <v>3.3733005406557091</v>
      </c>
      <c r="V20" s="3">
        <v>13.211155363194734</v>
      </c>
      <c r="W20" s="3">
        <v>2.4733976076350226</v>
      </c>
      <c r="X20" s="3">
        <v>5.2094269658132779</v>
      </c>
      <c r="Y20" s="3">
        <v>3.3617783167322992</v>
      </c>
      <c r="Z20" s="3">
        <v>11.408900909406377</v>
      </c>
      <c r="AA20" s="3">
        <v>20.491162252087449</v>
      </c>
      <c r="AB20" s="3">
        <v>0.96126926411231362</v>
      </c>
      <c r="AC20" s="3">
        <v>1.909372352408379</v>
      </c>
      <c r="AD20" s="3">
        <v>9.6518202150513925</v>
      </c>
      <c r="AE20" s="3">
        <v>2.8602045962857554</v>
      </c>
      <c r="AF20" s="3">
        <v>6.2132307437528302</v>
      </c>
      <c r="AG20" s="3">
        <v>9.2608584394889419</v>
      </c>
      <c r="AH20" s="3">
        <v>14.500126946896513</v>
      </c>
      <c r="AI20" s="3">
        <v>7.2265623689508143</v>
      </c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</row>
    <row r="21" spans="1:105" x14ac:dyDescent="0.35">
      <c r="A21" t="s">
        <v>426</v>
      </c>
      <c r="B21" s="3">
        <v>9.4390412383906955E-2</v>
      </c>
      <c r="C21" s="3">
        <v>-20.806564848707303</v>
      </c>
      <c r="D21" s="3">
        <v>-3.3473614221020833</v>
      </c>
      <c r="E21" s="3">
        <v>9.2646650821391327E-2</v>
      </c>
      <c r="F21" s="3">
        <v>-53.611684404644613</v>
      </c>
      <c r="G21" s="3">
        <v>20.58799307051596</v>
      </c>
      <c r="H21" s="3">
        <v>-0.13357370157122192</v>
      </c>
      <c r="I21" s="3">
        <v>1272.2031174704539</v>
      </c>
      <c r="J21" s="3">
        <v>8.3392335098329529</v>
      </c>
      <c r="K21" s="3">
        <v>-8.4523628501510313</v>
      </c>
      <c r="L21" s="3">
        <v>-19.515400308016932</v>
      </c>
      <c r="M21" s="3">
        <v>-21.584996015058341</v>
      </c>
      <c r="N21" s="3">
        <v>-23.145961004253923</v>
      </c>
      <c r="O21" s="3">
        <v>-41.252380049094569</v>
      </c>
      <c r="P21" s="3">
        <v>-33.010209039979003</v>
      </c>
      <c r="Q21" s="3">
        <v>289.78832307049339</v>
      </c>
      <c r="R21" s="3">
        <v>35.233547889189467</v>
      </c>
      <c r="S21" s="3">
        <v>-20.723337301645461</v>
      </c>
      <c r="T21" s="3">
        <v>-6.5193173054929279</v>
      </c>
      <c r="U21" s="3">
        <v>50.235632202513834</v>
      </c>
      <c r="V21" s="3">
        <v>7.4905895920883117</v>
      </c>
      <c r="W21" s="3">
        <v>-14.409058666251887</v>
      </c>
      <c r="X21" s="3">
        <v>-1.6938464682324443</v>
      </c>
      <c r="Y21" s="3">
        <v>-1.0089791928864107</v>
      </c>
      <c r="Z21" s="3">
        <v>-17.763076584482388</v>
      </c>
      <c r="AA21" s="3">
        <v>-4.3369240055146356</v>
      </c>
      <c r="AB21" s="3">
        <v>-0.94358579061095371</v>
      </c>
      <c r="AC21" s="3">
        <v>-7.9827760424475205</v>
      </c>
      <c r="AD21" s="3">
        <v>-16.265233004124834</v>
      </c>
      <c r="AE21" s="3">
        <v>-8.2026176225848229</v>
      </c>
      <c r="AF21" s="3">
        <v>7.511065600793712</v>
      </c>
      <c r="AG21" s="3">
        <v>9.469916145053169</v>
      </c>
      <c r="AH21" s="3">
        <v>12.443111756820608</v>
      </c>
      <c r="AI21" s="3">
        <v>-8.3668889571205121</v>
      </c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</row>
    <row r="22" spans="1:105" x14ac:dyDescent="0.35">
      <c r="A22" s="23" t="s">
        <v>425</v>
      </c>
      <c r="B22" s="39">
        <v>101635.12933790599</v>
      </c>
      <c r="C22" s="39">
        <v>34.700000000000003</v>
      </c>
      <c r="D22" s="39">
        <v>10532.2128415027</v>
      </c>
      <c r="E22" s="39">
        <v>338891.61659704102</v>
      </c>
      <c r="F22" s="39">
        <v>13</v>
      </c>
      <c r="G22" s="39">
        <v>29</v>
      </c>
      <c r="H22" s="39">
        <v>84334.112024537695</v>
      </c>
      <c r="I22" s="39">
        <v>2.5999999999999999E-2</v>
      </c>
      <c r="J22" s="39">
        <v>2.65</v>
      </c>
      <c r="K22" s="39">
        <v>0.22800000000000001</v>
      </c>
      <c r="L22" s="39">
        <v>0.4</v>
      </c>
      <c r="M22" s="39">
        <v>0.60899999999999999</v>
      </c>
      <c r="N22" s="39">
        <v>16</v>
      </c>
      <c r="O22" s="39">
        <v>5.0999999999999997E-2</v>
      </c>
      <c r="P22" s="39">
        <v>0.435</v>
      </c>
      <c r="Q22" s="39">
        <v>0.7</v>
      </c>
      <c r="R22" s="39">
        <v>1.33</v>
      </c>
      <c r="S22" s="39">
        <v>0.5</v>
      </c>
      <c r="T22" s="39">
        <v>2.8799999999999999E-2</v>
      </c>
      <c r="U22" s="39">
        <v>9.5100000000000004E-2</v>
      </c>
      <c r="V22" s="39">
        <v>1.9400000000000001E-2</v>
      </c>
      <c r="W22" s="39">
        <v>1.18</v>
      </c>
      <c r="X22" s="39">
        <v>2.98E-2</v>
      </c>
      <c r="Y22" s="39">
        <v>2.92E-2</v>
      </c>
      <c r="Z22" s="39">
        <v>2.2700000000000001E-2</v>
      </c>
      <c r="AA22" s="39">
        <v>1.6400000000000001E-2</v>
      </c>
      <c r="AB22" s="39">
        <v>1.46E-2</v>
      </c>
      <c r="AC22" s="39">
        <v>1.6199999999999999E-2</v>
      </c>
      <c r="AD22" s="39">
        <v>1.5699999999999999E-2</v>
      </c>
      <c r="AE22" s="39">
        <v>1.4500000000000001E-2</v>
      </c>
      <c r="AF22" s="39">
        <v>1.54E-2</v>
      </c>
      <c r="AG22" s="39">
        <v>2.9899999999999999E-2</v>
      </c>
      <c r="AH22" s="39">
        <v>4.2999999999999997E-2</v>
      </c>
      <c r="AI22" s="39">
        <v>2.52E-2</v>
      </c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</row>
    <row r="23" spans="1:105" x14ac:dyDescent="0.35">
      <c r="A23" t="s">
        <v>429</v>
      </c>
      <c r="B23" s="3"/>
      <c r="C23" s="3"/>
      <c r="D23" s="3"/>
      <c r="E23" s="3"/>
      <c r="F23" s="3"/>
      <c r="G23" s="3"/>
      <c r="H23" s="3"/>
      <c r="I23" s="42">
        <f>I19/E19</f>
        <v>1.0517893065945267E-6</v>
      </c>
      <c r="J23" s="3"/>
      <c r="K23" s="3"/>
      <c r="L23" s="3"/>
      <c r="M23" s="3"/>
      <c r="N23" s="3"/>
      <c r="O23" s="3"/>
      <c r="P23" s="3"/>
      <c r="Q23" s="42">
        <f>(Q19-Q22)/B19</f>
        <v>1.9940008474997355E-5</v>
      </c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</row>
    <row r="24" spans="1:105" x14ac:dyDescent="0.35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</row>
    <row r="25" spans="1:105" x14ac:dyDescent="0.35">
      <c r="A25" s="22" t="s">
        <v>371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</row>
    <row r="26" spans="1:105" x14ac:dyDescent="0.35">
      <c r="A26" t="s">
        <v>424</v>
      </c>
      <c r="B26" s="3">
        <v>103.49451519600809</v>
      </c>
      <c r="C26" s="3">
        <v>298877.80706682464</v>
      </c>
      <c r="D26" s="3">
        <v>274.22301183211698</v>
      </c>
      <c r="E26" s="3">
        <v>187299.61356845801</v>
      </c>
      <c r="F26" s="3">
        <v>58.768493661695032</v>
      </c>
      <c r="G26" s="3">
        <v>8.6838644950343333</v>
      </c>
      <c r="H26" s="3">
        <v>624.43984928461634</v>
      </c>
      <c r="I26" s="3">
        <f>2.87804236134881-I30</f>
        <v>2.6810426306682191</v>
      </c>
      <c r="J26" s="3">
        <v>36.226116793544399</v>
      </c>
      <c r="K26" s="3">
        <v>4.8288638937150132</v>
      </c>
      <c r="L26" s="3">
        <v>120.50399256250201</v>
      </c>
      <c r="M26" s="3">
        <v>1049.1317035182101</v>
      </c>
      <c r="N26" s="3">
        <v>78194.430095048025</v>
      </c>
      <c r="O26" s="3">
        <v>147.85246667516867</v>
      </c>
      <c r="P26" s="3">
        <v>2671.7449886203735</v>
      </c>
      <c r="Q26" s="3">
        <f>1.16836576057836-Q30</f>
        <v>1.1683657605783599</v>
      </c>
      <c r="R26" s="3">
        <v>62.908203938229668</v>
      </c>
      <c r="S26" s="7">
        <v>8.2424772450297543E-2</v>
      </c>
      <c r="T26" s="7">
        <v>6.024267207312417E-2</v>
      </c>
      <c r="U26" s="7">
        <f>0.117168213647857</f>
        <v>0.117168213647857</v>
      </c>
      <c r="V26" s="7">
        <v>3.7536506205562269E-3</v>
      </c>
      <c r="W26" s="7">
        <v>4.3435588988589569E-2</v>
      </c>
      <c r="X26" s="7">
        <v>1.1838516035365422E-3</v>
      </c>
      <c r="Y26" s="7">
        <v>7.2056090499779298E-3</v>
      </c>
      <c r="Z26" s="7">
        <v>1.7621577361199164E-3</v>
      </c>
      <c r="AA26" s="7">
        <v>1.4858326061871761E-3</v>
      </c>
      <c r="AB26" s="7">
        <v>1.5131827525118229E-3</v>
      </c>
      <c r="AC26" s="7">
        <v>2.88115784307399E-3</v>
      </c>
      <c r="AD26" s="7">
        <v>1.0341148168557933E-2</v>
      </c>
      <c r="AE26" s="7">
        <v>7.0593394109904591E-3</v>
      </c>
      <c r="AF26" s="7">
        <v>3.2889319964495771E-3</v>
      </c>
      <c r="AG26" s="7">
        <v>8.6801225691631942E-4</v>
      </c>
      <c r="AH26" s="7">
        <v>3.8365582005494871E-3</v>
      </c>
      <c r="AI26" s="7">
        <v>9.7523608829062664E-4</v>
      </c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</row>
    <row r="27" spans="1:105" x14ac:dyDescent="0.35">
      <c r="A27" t="s">
        <v>296</v>
      </c>
      <c r="B27" s="3">
        <v>6.3403912485790705</v>
      </c>
      <c r="C27" s="3">
        <v>2.5665188255344353</v>
      </c>
      <c r="D27" s="3">
        <v>1.2027344556989961</v>
      </c>
      <c r="E27" s="3">
        <v>3.6697309908402302</v>
      </c>
      <c r="F27" s="3">
        <v>10.901133716803155</v>
      </c>
      <c r="G27" s="3">
        <v>7.3062606145349447</v>
      </c>
      <c r="H27" s="3">
        <v>6.5406283180468856</v>
      </c>
      <c r="I27" s="3">
        <v>0.90526030770016042</v>
      </c>
      <c r="J27" s="3">
        <v>6.1004340214214805</v>
      </c>
      <c r="K27" s="3">
        <v>5.3554884373280069</v>
      </c>
      <c r="L27" s="3">
        <v>3.32188133966581</v>
      </c>
      <c r="M27" s="3">
        <v>1.6687719017202052</v>
      </c>
      <c r="N27" s="3">
        <v>2.1040610665108659</v>
      </c>
      <c r="O27" s="3">
        <v>3.1451336046159768</v>
      </c>
      <c r="P27" s="3">
        <v>2.6289269363907239</v>
      </c>
      <c r="Q27" s="3">
        <v>5.4932075928932562</v>
      </c>
      <c r="R27" s="3">
        <v>4.9963153447459465</v>
      </c>
      <c r="S27" s="3">
        <v>5.7306717048880866</v>
      </c>
      <c r="T27" s="3">
        <v>8.1154136549094247</v>
      </c>
      <c r="U27" s="3">
        <v>19.312172128943487</v>
      </c>
      <c r="V27" s="3">
        <v>31.047425938729027</v>
      </c>
      <c r="W27" s="3">
        <v>31.421555274053208</v>
      </c>
      <c r="X27" s="3">
        <v>74.207581372923386</v>
      </c>
      <c r="Y27" s="3">
        <v>144.37372132546005</v>
      </c>
      <c r="Z27" s="3">
        <v>50.526177782657022</v>
      </c>
      <c r="AA27" s="3">
        <v>64.375046720238089</v>
      </c>
      <c r="AB27" s="3">
        <v>82.253568885235111</v>
      </c>
      <c r="AC27" s="3">
        <v>47.398719953036967</v>
      </c>
      <c r="AD27" s="3">
        <v>18.678725197568205</v>
      </c>
      <c r="AE27" s="3">
        <v>22.268272310832227</v>
      </c>
      <c r="AF27" s="3">
        <v>49.427632685107135</v>
      </c>
      <c r="AG27" s="3">
        <v>131.98912588996089</v>
      </c>
      <c r="AH27" s="3">
        <v>39.045404431969914</v>
      </c>
      <c r="AI27" s="3">
        <v>79.996464119450522</v>
      </c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</row>
    <row r="28" spans="1:105" x14ac:dyDescent="0.35">
      <c r="A28" t="s">
        <v>426</v>
      </c>
      <c r="B28" s="3">
        <v>-20.081455447097994</v>
      </c>
      <c r="C28" s="3">
        <v>1.575853489766768</v>
      </c>
      <c r="D28" s="3">
        <v>11.927759931476318</v>
      </c>
      <c r="E28" s="3">
        <v>-1.6608928933924134</v>
      </c>
      <c r="F28" s="3">
        <v>-11.493232437206284</v>
      </c>
      <c r="G28" s="3"/>
      <c r="H28" s="3">
        <v>-9.2383939993290198</v>
      </c>
      <c r="I28" s="3">
        <v>-15.351695254446771</v>
      </c>
      <c r="J28" s="3">
        <v>-9.8852816080985164</v>
      </c>
      <c r="K28" s="3">
        <v>-12.202474659727033</v>
      </c>
      <c r="L28" s="3">
        <v>-3.5968059499983953</v>
      </c>
      <c r="M28" s="3">
        <v>-6.2438155926532541</v>
      </c>
      <c r="N28" s="3">
        <v>-1.1460915853806846</v>
      </c>
      <c r="O28" s="3">
        <v>-9.9684678940087215E-2</v>
      </c>
      <c r="P28" s="3">
        <v>-5.3244157115388537</v>
      </c>
      <c r="Q28" s="3">
        <v>3.3952000511823255</v>
      </c>
      <c r="R28" s="3">
        <v>11.737484792592667</v>
      </c>
      <c r="S28" s="3">
        <v>-17.575227549702461</v>
      </c>
      <c r="T28" s="3">
        <v>-23.743453071994722</v>
      </c>
      <c r="U28" s="43">
        <v>166.29139465422026</v>
      </c>
      <c r="V28" s="3" t="e">
        <v>#VALUE!</v>
      </c>
      <c r="W28" s="3" t="e">
        <v>#VALUE!</v>
      </c>
      <c r="X28" s="3" t="e">
        <v>#VALUE!</v>
      </c>
      <c r="Y28" s="3" t="e">
        <v>#VALUE!</v>
      </c>
      <c r="Z28" s="3" t="e">
        <v>#VALUE!</v>
      </c>
      <c r="AA28" s="3" t="e">
        <v>#VALUE!</v>
      </c>
      <c r="AB28" s="3" t="e">
        <v>#VALUE!</v>
      </c>
      <c r="AC28" s="3" t="e">
        <v>#VALUE!</v>
      </c>
      <c r="AD28" s="3">
        <v>-20.452706395708205</v>
      </c>
      <c r="AE28" s="3">
        <v>0.8477058712922706</v>
      </c>
      <c r="AF28" s="3" t="e">
        <v>#VALUE!</v>
      </c>
      <c r="AG28" s="3" t="e">
        <v>#VALUE!</v>
      </c>
      <c r="AH28" s="3" t="e">
        <v>#VALUE!</v>
      </c>
      <c r="AI28" s="3" t="e">
        <v>#VALUE!</v>
      </c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</row>
    <row r="29" spans="1:105" x14ac:dyDescent="0.35">
      <c r="A29" s="23" t="s">
        <v>277</v>
      </c>
      <c r="B29" s="39">
        <v>129.5</v>
      </c>
      <c r="C29" s="39">
        <v>294241</v>
      </c>
      <c r="D29" s="39">
        <v>245</v>
      </c>
      <c r="E29" s="39">
        <v>190463</v>
      </c>
      <c r="F29" s="39">
        <v>66.400000000000006</v>
      </c>
      <c r="G29" s="39" t="s">
        <v>278</v>
      </c>
      <c r="H29" s="39">
        <v>688</v>
      </c>
      <c r="I29" s="39">
        <v>3.4</v>
      </c>
      <c r="J29" s="39">
        <v>40.200000000000003</v>
      </c>
      <c r="K29" s="39">
        <v>5.5</v>
      </c>
      <c r="L29" s="39">
        <v>125</v>
      </c>
      <c r="M29" s="39">
        <v>1119</v>
      </c>
      <c r="N29" s="39">
        <v>79101</v>
      </c>
      <c r="O29" s="39">
        <v>148</v>
      </c>
      <c r="P29" s="39">
        <v>2822</v>
      </c>
      <c r="Q29" s="39">
        <v>1.1299999999999999</v>
      </c>
      <c r="R29" s="39">
        <v>56.3</v>
      </c>
      <c r="S29" s="41">
        <v>0.1</v>
      </c>
      <c r="T29" s="41">
        <v>7.9000000000000001E-2</v>
      </c>
      <c r="U29" s="41">
        <v>4.3999999999999997E-2</v>
      </c>
      <c r="V29" s="41" t="s">
        <v>278</v>
      </c>
      <c r="W29" s="41" t="s">
        <v>278</v>
      </c>
      <c r="X29" s="41" t="s">
        <v>278</v>
      </c>
      <c r="Y29" s="41" t="s">
        <v>278</v>
      </c>
      <c r="Z29" s="41" t="s">
        <v>278</v>
      </c>
      <c r="AA29" s="41" t="s">
        <v>278</v>
      </c>
      <c r="AB29" s="41" t="s">
        <v>278</v>
      </c>
      <c r="AC29" s="41" t="s">
        <v>278</v>
      </c>
      <c r="AD29" s="41">
        <v>1.2999999999999999E-2</v>
      </c>
      <c r="AE29" s="41">
        <v>7.0000000000000001E-3</v>
      </c>
      <c r="AF29" s="39" t="s">
        <v>278</v>
      </c>
      <c r="AG29" s="39" t="s">
        <v>278</v>
      </c>
      <c r="AH29" s="39" t="s">
        <v>278</v>
      </c>
      <c r="AI29" s="39" t="s">
        <v>278</v>
      </c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</row>
    <row r="30" spans="1:105" x14ac:dyDescent="0.35">
      <c r="A30" t="s">
        <v>449</v>
      </c>
      <c r="B30" s="3"/>
      <c r="C30" s="3"/>
      <c r="D30" s="3"/>
      <c r="E30" s="3"/>
      <c r="F30" s="3"/>
      <c r="G30" s="3"/>
      <c r="H30" s="3"/>
      <c r="I30" s="3">
        <f>E26*I$23</f>
        <v>0.19699973068059126</v>
      </c>
      <c r="J30" s="3"/>
      <c r="K30" s="3"/>
      <c r="L30" s="3"/>
      <c r="M30" s="3"/>
      <c r="N30" s="3"/>
      <c r="O30" s="3"/>
      <c r="P30" s="3"/>
      <c r="Q30" s="3">
        <f>M26*B$23</f>
        <v>0</v>
      </c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</row>
    <row r="31" spans="1:105" x14ac:dyDescent="0.35"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</row>
    <row r="32" spans="1:105" x14ac:dyDescent="0.35">
      <c r="A32" s="22" t="s">
        <v>285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</row>
    <row r="33" spans="1:105" x14ac:dyDescent="0.35">
      <c r="A33" t="s">
        <v>424</v>
      </c>
      <c r="B33" s="3">
        <v>13763.130852785935</v>
      </c>
      <c r="C33" s="3">
        <v>51737.765524983064</v>
      </c>
      <c r="D33" s="3">
        <v>91801.186362143941</v>
      </c>
      <c r="E33" s="3">
        <v>228840.37637289366</v>
      </c>
      <c r="F33" s="3">
        <v>639.09122364564132</v>
      </c>
      <c r="G33" s="3">
        <v>1362.64276439373</v>
      </c>
      <c r="H33" s="3">
        <v>85385.450137169799</v>
      </c>
      <c r="I33" s="3">
        <v>34.808740937955697</v>
      </c>
      <c r="J33" s="3">
        <v>7411.9456527800357</v>
      </c>
      <c r="K33" s="3">
        <v>258.49890030064631</v>
      </c>
      <c r="L33" s="3">
        <v>335.30663724311131</v>
      </c>
      <c r="M33" s="3">
        <v>1306.3202039192765</v>
      </c>
      <c r="N33" s="3">
        <v>74626.025809220853</v>
      </c>
      <c r="O33" s="3">
        <v>45.277704874350633</v>
      </c>
      <c r="P33" s="3">
        <v>141.85193708739632</v>
      </c>
      <c r="Q33" s="3">
        <v>73.70495418083577</v>
      </c>
      <c r="R33" s="3">
        <v>79.390634365431438</v>
      </c>
      <c r="S33" s="3">
        <v>13.996950925943599</v>
      </c>
      <c r="T33" s="3">
        <v>17.865524014137765</v>
      </c>
      <c r="U33" s="3">
        <v>50.809379051937263</v>
      </c>
      <c r="V33" s="3">
        <v>3.7172389240988202</v>
      </c>
      <c r="W33" s="3">
        <v>1.2300682422726366</v>
      </c>
      <c r="X33" s="3">
        <v>4.9994139307275303</v>
      </c>
      <c r="Y33" s="3">
        <v>11.532134799094933</v>
      </c>
      <c r="Z33" s="3">
        <v>8.0677566918759176</v>
      </c>
      <c r="AA33" s="3">
        <v>2.2895283764356331</v>
      </c>
      <c r="AB33" s="3">
        <v>0.93748085537952608</v>
      </c>
      <c r="AC33" s="3">
        <v>2.9200290990394664</v>
      </c>
      <c r="AD33" s="3">
        <v>1.8673918023451466</v>
      </c>
      <c r="AE33" s="3">
        <v>0.30182937752028766</v>
      </c>
      <c r="AF33" s="3">
        <v>1.4417335462563132</v>
      </c>
      <c r="AG33" s="3">
        <v>0.23662875997975266</v>
      </c>
      <c r="AH33" s="3">
        <v>0.25512029883269299</v>
      </c>
      <c r="AI33" s="3">
        <v>0.320962847387678</v>
      </c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</row>
    <row r="34" spans="1:105" x14ac:dyDescent="0.35">
      <c r="A34" t="s">
        <v>296</v>
      </c>
      <c r="B34" s="3">
        <v>4.5344702041764382</v>
      </c>
      <c r="C34" s="3">
        <v>4.1122952104898358</v>
      </c>
      <c r="D34" s="3">
        <v>4.0814254461008792</v>
      </c>
      <c r="E34" s="3">
        <v>2.0930621461530832</v>
      </c>
      <c r="F34" s="3">
        <v>4.6769770846401757</v>
      </c>
      <c r="G34" s="3">
        <v>6.1949898360516817</v>
      </c>
      <c r="H34" s="3">
        <v>3.0217168587700329</v>
      </c>
      <c r="I34" s="3">
        <v>1.3952047509145546</v>
      </c>
      <c r="J34" s="3">
        <v>0.67540056922290559</v>
      </c>
      <c r="K34" s="3">
        <v>1.6273285630588541</v>
      </c>
      <c r="L34" s="3">
        <v>1.0747436554774603</v>
      </c>
      <c r="M34" s="3">
        <v>0.48360645558411092</v>
      </c>
      <c r="N34" s="3">
        <v>4.1874812205167427</v>
      </c>
      <c r="O34" s="3">
        <v>2.8892349839805318</v>
      </c>
      <c r="P34" s="3">
        <v>2.8648305725525502</v>
      </c>
      <c r="Q34" s="3">
        <v>7.3717765406662474</v>
      </c>
      <c r="R34" s="3">
        <v>2.8634349265530226</v>
      </c>
      <c r="S34" s="3">
        <v>2.6631463152350188</v>
      </c>
      <c r="T34" s="3">
        <v>3.1683163922703041</v>
      </c>
      <c r="U34" s="3">
        <v>3.1275565969052752</v>
      </c>
      <c r="V34" s="3">
        <v>3.2353451659913284</v>
      </c>
      <c r="W34" s="3">
        <v>4.0643102493051604</v>
      </c>
      <c r="X34" s="3">
        <v>3.3660171533761281</v>
      </c>
      <c r="Y34" s="3">
        <v>3.0856507651327121</v>
      </c>
      <c r="Z34" s="3">
        <v>2.7370964632852441</v>
      </c>
      <c r="AA34" s="3">
        <v>1.5429097801660443</v>
      </c>
      <c r="AB34" s="3">
        <v>1.9442127105822931</v>
      </c>
      <c r="AC34" s="3">
        <v>3.5705386033364652</v>
      </c>
      <c r="AD34" s="3">
        <v>3.5495209379187367</v>
      </c>
      <c r="AE34" s="3">
        <v>5.5471540822802439</v>
      </c>
      <c r="AF34" s="3">
        <v>1.9467887411504903</v>
      </c>
      <c r="AG34" s="3">
        <v>5.3255227380156445</v>
      </c>
      <c r="AH34" s="3">
        <v>4.2139367991520507</v>
      </c>
      <c r="AI34" s="3">
        <v>4.7689927612336929</v>
      </c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</row>
    <row r="35" spans="1:105" x14ac:dyDescent="0.35">
      <c r="A35" t="s">
        <v>426</v>
      </c>
      <c r="B35" s="3">
        <v>-11.23996612417171</v>
      </c>
      <c r="C35" s="3">
        <v>0.81796937718356921</v>
      </c>
      <c r="D35" s="3">
        <v>-0.37312240257860912</v>
      </c>
      <c r="E35" s="3">
        <v>2.0428952117389541</v>
      </c>
      <c r="F35" s="3">
        <v>4.5975816113979251</v>
      </c>
      <c r="G35" s="3">
        <v>-13.592722612953075</v>
      </c>
      <c r="H35" s="3">
        <v>-1.6149306495560407</v>
      </c>
      <c r="I35" s="3">
        <v>-5.2823375837940212</v>
      </c>
      <c r="J35" s="3">
        <v>5.7037315000005098</v>
      </c>
      <c r="K35" s="3">
        <v>8.6129833195992909</v>
      </c>
      <c r="L35" s="3">
        <v>11.694416136945812</v>
      </c>
      <c r="M35" s="3">
        <v>4.0892592764363771</v>
      </c>
      <c r="N35" s="3">
        <v>2.7935009355916876</v>
      </c>
      <c r="O35" s="3">
        <v>-3.4590514406169852</v>
      </c>
      <c r="P35" s="3">
        <v>-2.6410864190828183</v>
      </c>
      <c r="Q35" s="3">
        <v>-17.648095887334335</v>
      </c>
      <c r="R35" s="3">
        <v>12.133664357954013</v>
      </c>
      <c r="S35" s="3">
        <v>-12.628271373635458</v>
      </c>
      <c r="T35" s="3">
        <v>-7.5761820272231413</v>
      </c>
      <c r="U35" s="3">
        <v>-7.786970867627474</v>
      </c>
      <c r="V35" s="3">
        <v>-10.643295093778365</v>
      </c>
      <c r="W35" s="3">
        <v>-7.5136659945386093</v>
      </c>
      <c r="X35" s="3">
        <v>-3.8574244090859597</v>
      </c>
      <c r="Y35" s="3">
        <v>-3.8988766742088878</v>
      </c>
      <c r="Z35" s="3">
        <v>-3.9552774776676523</v>
      </c>
      <c r="AA35" s="3">
        <v>-2.9860857442528288</v>
      </c>
      <c r="AB35" s="3">
        <v>-4.3386882265789701</v>
      </c>
      <c r="AC35" s="3">
        <v>1.7431741825598008</v>
      </c>
      <c r="AD35" s="3">
        <v>-11.07658084070731</v>
      </c>
      <c r="AE35" s="3">
        <v>-5.6783195249101093</v>
      </c>
      <c r="AF35" s="3">
        <v>-5.1491087989267621</v>
      </c>
      <c r="AG35" s="3">
        <v>-15.489728578659772</v>
      </c>
      <c r="AH35" s="3" t="e">
        <v>#VALUE!</v>
      </c>
      <c r="AI35" s="3">
        <v>-2.7385310946430361</v>
      </c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</row>
    <row r="36" spans="1:105" x14ac:dyDescent="0.35">
      <c r="A36" s="23" t="s">
        <v>277</v>
      </c>
      <c r="B36" s="39">
        <v>15506</v>
      </c>
      <c r="C36" s="39">
        <v>51318</v>
      </c>
      <c r="D36" s="39">
        <v>92145</v>
      </c>
      <c r="E36" s="39">
        <v>224259</v>
      </c>
      <c r="F36" s="39">
        <v>611</v>
      </c>
      <c r="G36" s="39">
        <v>1577</v>
      </c>
      <c r="H36" s="39">
        <v>86787</v>
      </c>
      <c r="I36" s="39">
        <v>36.75</v>
      </c>
      <c r="J36" s="39">
        <v>7012</v>
      </c>
      <c r="K36" s="39">
        <v>238</v>
      </c>
      <c r="L36" s="39">
        <v>300.2</v>
      </c>
      <c r="M36" s="39">
        <v>1255</v>
      </c>
      <c r="N36" s="39">
        <v>72598</v>
      </c>
      <c r="O36" s="39">
        <v>46.9</v>
      </c>
      <c r="P36" s="39">
        <v>145.69999999999999</v>
      </c>
      <c r="Q36" s="39">
        <v>89.5</v>
      </c>
      <c r="R36" s="39">
        <v>70.8</v>
      </c>
      <c r="S36" s="39">
        <v>16.02</v>
      </c>
      <c r="T36" s="39">
        <v>19.329999999999998</v>
      </c>
      <c r="U36" s="39">
        <v>55.1</v>
      </c>
      <c r="V36" s="39">
        <v>4.16</v>
      </c>
      <c r="W36" s="39">
        <v>1.33</v>
      </c>
      <c r="X36" s="39">
        <v>5.2</v>
      </c>
      <c r="Y36" s="39">
        <v>12</v>
      </c>
      <c r="Z36" s="39">
        <v>8.4</v>
      </c>
      <c r="AA36" s="39">
        <v>2.36</v>
      </c>
      <c r="AB36" s="39">
        <v>0.98</v>
      </c>
      <c r="AC36" s="39">
        <v>2.87</v>
      </c>
      <c r="AD36" s="39">
        <v>2.1</v>
      </c>
      <c r="AE36" s="39">
        <v>0.32</v>
      </c>
      <c r="AF36" s="39">
        <v>1.52</v>
      </c>
      <c r="AG36" s="39">
        <v>0.28000000000000003</v>
      </c>
      <c r="AH36" s="39" t="s">
        <v>278</v>
      </c>
      <c r="AI36" s="39">
        <v>0.33</v>
      </c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</row>
    <row r="37" spans="1:105" x14ac:dyDescent="0.35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</row>
    <row r="38" spans="1:105" x14ac:dyDescent="0.35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</row>
    <row r="39" spans="1:105" x14ac:dyDescent="0.35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</row>
    <row r="40" spans="1:105" x14ac:dyDescent="0.35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</row>
    <row r="41" spans="1:105" x14ac:dyDescent="0.35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</row>
    <row r="42" spans="1:105" x14ac:dyDescent="0.35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</row>
    <row r="43" spans="1:105" x14ac:dyDescent="0.35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</row>
    <row r="44" spans="1:105" x14ac:dyDescent="0.35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</row>
    <row r="45" spans="1:105" x14ac:dyDescent="0.35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</row>
    <row r="46" spans="1:105" x14ac:dyDescent="0.35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</row>
    <row r="47" spans="1:105" x14ac:dyDescent="0.35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</row>
    <row r="48" spans="1:105" x14ac:dyDescent="0.35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</row>
    <row r="49" spans="2:105" x14ac:dyDescent="0.35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</row>
    <row r="50" spans="2:105" x14ac:dyDescent="0.35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</row>
    <row r="51" spans="2:105" x14ac:dyDescent="0.35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</row>
    <row r="52" spans="2:105" x14ac:dyDescent="0.35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</row>
    <row r="53" spans="2:105" x14ac:dyDescent="0.35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</row>
    <row r="54" spans="2:105" x14ac:dyDescent="0.35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</row>
    <row r="55" spans="2:105" x14ac:dyDescent="0.35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</row>
    <row r="56" spans="2:105" x14ac:dyDescent="0.35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</row>
    <row r="57" spans="2:105" x14ac:dyDescent="0.35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</row>
    <row r="58" spans="2:105" x14ac:dyDescent="0.35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</row>
    <row r="59" spans="2:105" x14ac:dyDescent="0.35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C8797-1AE8-42BD-986D-93A18DE1C432}">
  <dimension ref="A1:AV52"/>
  <sheetViews>
    <sheetView zoomScale="80" zoomScaleNormal="80" workbookViewId="0">
      <pane xSplit="1" ySplit="7" topLeftCell="B27" activePane="bottomRight" state="frozen"/>
      <selection pane="topRight" activeCell="B1" sqref="B1"/>
      <selection pane="bottomLeft" activeCell="A8" sqref="A8"/>
      <selection pane="bottomRight" activeCell="A36" sqref="A36"/>
    </sheetView>
  </sheetViews>
  <sheetFormatPr defaultRowHeight="14.5" x14ac:dyDescent="0.35"/>
  <cols>
    <col min="4" max="4" width="18.1796875" bestFit="1" customWidth="1"/>
  </cols>
  <sheetData>
    <row r="1" spans="1:48" ht="15.5" x14ac:dyDescent="0.35">
      <c r="A1" s="2" t="s">
        <v>451</v>
      </c>
      <c r="B1" s="2"/>
      <c r="D1" s="44" t="s">
        <v>445</v>
      </c>
      <c r="E1" s="2"/>
      <c r="F1" s="2"/>
    </row>
    <row r="3" spans="1:48" x14ac:dyDescent="0.35">
      <c r="A3" t="s">
        <v>398</v>
      </c>
      <c r="B3" t="s">
        <v>218</v>
      </c>
    </row>
    <row r="4" spans="1:48" x14ac:dyDescent="0.35">
      <c r="F4" t="s">
        <v>235</v>
      </c>
    </row>
    <row r="5" spans="1:48" x14ac:dyDescent="0.35">
      <c r="F5" t="s">
        <v>145</v>
      </c>
      <c r="T5" t="s">
        <v>219</v>
      </c>
    </row>
    <row r="6" spans="1:48" x14ac:dyDescent="0.35">
      <c r="A6" t="s">
        <v>209</v>
      </c>
      <c r="B6" t="s">
        <v>118</v>
      </c>
      <c r="C6" t="s">
        <v>119</v>
      </c>
      <c r="D6" t="s">
        <v>120</v>
      </c>
      <c r="E6" t="s">
        <v>210</v>
      </c>
      <c r="F6" t="s">
        <v>22</v>
      </c>
      <c r="G6" t="s">
        <v>208</v>
      </c>
      <c r="H6" t="s">
        <v>228</v>
      </c>
      <c r="I6" t="s">
        <v>124</v>
      </c>
      <c r="J6" t="s">
        <v>229</v>
      </c>
      <c r="K6" t="s">
        <v>207</v>
      </c>
      <c r="L6" t="s">
        <v>216</v>
      </c>
      <c r="M6" t="s">
        <v>211</v>
      </c>
      <c r="N6" t="s">
        <v>80</v>
      </c>
      <c r="O6" t="s">
        <v>212</v>
      </c>
      <c r="P6" t="s">
        <v>213</v>
      </c>
      <c r="Q6" t="s">
        <v>214</v>
      </c>
      <c r="R6" t="s">
        <v>215</v>
      </c>
      <c r="S6" t="s">
        <v>450</v>
      </c>
      <c r="T6" t="s">
        <v>230</v>
      </c>
      <c r="U6" t="s">
        <v>360</v>
      </c>
      <c r="V6" t="s">
        <v>350</v>
      </c>
      <c r="W6" t="s">
        <v>337</v>
      </c>
      <c r="X6" t="s">
        <v>339</v>
      </c>
      <c r="Y6" t="s">
        <v>341</v>
      </c>
      <c r="Z6" t="s">
        <v>342</v>
      </c>
      <c r="AA6" t="s">
        <v>353</v>
      </c>
      <c r="AB6" t="s">
        <v>351</v>
      </c>
      <c r="AC6" t="s">
        <v>358</v>
      </c>
      <c r="AD6" t="s">
        <v>336</v>
      </c>
      <c r="AE6" t="s">
        <v>346</v>
      </c>
      <c r="AF6" t="s">
        <v>345</v>
      </c>
      <c r="AG6" t="s">
        <v>338</v>
      </c>
      <c r="AH6" t="s">
        <v>357</v>
      </c>
      <c r="AI6" t="s">
        <v>349</v>
      </c>
      <c r="AJ6" t="s">
        <v>359</v>
      </c>
      <c r="AK6" t="s">
        <v>356</v>
      </c>
      <c r="AL6" t="s">
        <v>348</v>
      </c>
      <c r="AM6" t="s">
        <v>347</v>
      </c>
      <c r="AN6" t="s">
        <v>333</v>
      </c>
      <c r="AO6" t="s">
        <v>352</v>
      </c>
      <c r="AP6" t="s">
        <v>354</v>
      </c>
      <c r="AQ6" t="s">
        <v>334</v>
      </c>
      <c r="AR6" t="s">
        <v>335</v>
      </c>
      <c r="AS6" t="s">
        <v>355</v>
      </c>
      <c r="AT6" t="s">
        <v>343</v>
      </c>
      <c r="AU6" t="s">
        <v>340</v>
      </c>
      <c r="AV6" t="s">
        <v>344</v>
      </c>
    </row>
    <row r="7" spans="1:48" x14ac:dyDescent="0.35">
      <c r="F7" t="s">
        <v>132</v>
      </c>
      <c r="G7" t="s">
        <v>132</v>
      </c>
      <c r="H7" t="s">
        <v>132</v>
      </c>
      <c r="I7" t="s">
        <v>132</v>
      </c>
      <c r="J7" t="s">
        <v>132</v>
      </c>
      <c r="T7" t="s">
        <v>132</v>
      </c>
      <c r="U7" t="s">
        <v>133</v>
      </c>
      <c r="V7" t="s">
        <v>133</v>
      </c>
      <c r="W7" t="s">
        <v>133</v>
      </c>
      <c r="X7" t="s">
        <v>133</v>
      </c>
      <c r="Y7" t="s">
        <v>133</v>
      </c>
      <c r="Z7" t="s">
        <v>133</v>
      </c>
      <c r="AA7" t="s">
        <v>133</v>
      </c>
      <c r="AB7" t="s">
        <v>133</v>
      </c>
      <c r="AC7" t="s">
        <v>133</v>
      </c>
      <c r="AD7" t="s">
        <v>133</v>
      </c>
      <c r="AE7" t="s">
        <v>133</v>
      </c>
      <c r="AF7" t="s">
        <v>133</v>
      </c>
      <c r="AG7" t="s">
        <v>133</v>
      </c>
      <c r="AH7" t="s">
        <v>133</v>
      </c>
      <c r="AI7" t="s">
        <v>133</v>
      </c>
      <c r="AJ7" t="s">
        <v>133</v>
      </c>
      <c r="AK7" t="s">
        <v>133</v>
      </c>
      <c r="AL7" t="s">
        <v>133</v>
      </c>
      <c r="AM7" t="s">
        <v>133</v>
      </c>
      <c r="AN7" t="s">
        <v>133</v>
      </c>
      <c r="AO7" t="s">
        <v>133</v>
      </c>
      <c r="AP7" t="s">
        <v>133</v>
      </c>
      <c r="AQ7" t="s">
        <v>133</v>
      </c>
      <c r="AR7" t="s">
        <v>133</v>
      </c>
      <c r="AS7" t="s">
        <v>133</v>
      </c>
      <c r="AT7" t="s">
        <v>133</v>
      </c>
      <c r="AU7" t="s">
        <v>133</v>
      </c>
      <c r="AV7" t="s">
        <v>133</v>
      </c>
    </row>
    <row r="8" spans="1:48" x14ac:dyDescent="0.35">
      <c r="A8" s="30"/>
      <c r="B8" s="30"/>
      <c r="C8" s="30"/>
      <c r="D8" s="30"/>
      <c r="E8" s="30"/>
      <c r="F8" s="31"/>
      <c r="G8" s="31"/>
      <c r="H8" s="31"/>
      <c r="I8" s="31"/>
      <c r="J8" s="31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</row>
    <row r="9" spans="1:48" x14ac:dyDescent="0.35">
      <c r="A9" s="30" t="s">
        <v>86</v>
      </c>
      <c r="B9" s="30" t="s">
        <v>111</v>
      </c>
      <c r="C9" s="30" t="s">
        <v>112</v>
      </c>
      <c r="D9" s="30" t="s">
        <v>408</v>
      </c>
      <c r="E9" s="30" t="s">
        <v>217</v>
      </c>
      <c r="F9" s="31">
        <v>8.6611999999999991</v>
      </c>
      <c r="G9" s="31">
        <v>13.9674</v>
      </c>
      <c r="H9" s="31">
        <v>0.1018</v>
      </c>
      <c r="I9" s="31">
        <v>24.857800000000001</v>
      </c>
      <c r="J9" s="31">
        <v>52.066400000000002</v>
      </c>
      <c r="K9" s="31">
        <v>21.21557636</v>
      </c>
      <c r="L9" s="31">
        <v>4.0477600279999999</v>
      </c>
      <c r="M9" s="32">
        <v>0.14652236499999999</v>
      </c>
      <c r="N9" s="32">
        <v>0.421126379</v>
      </c>
      <c r="O9" s="32">
        <v>0.71426027800000003</v>
      </c>
      <c r="P9" s="32">
        <v>0.678401798</v>
      </c>
      <c r="Q9" s="32">
        <v>5.0203659999999997E-2</v>
      </c>
      <c r="R9" s="32">
        <v>0.27139454200000002</v>
      </c>
      <c r="S9" s="32">
        <f>1-N9</f>
        <v>0.57887362100000006</v>
      </c>
      <c r="T9" s="33">
        <v>0.32154110800000002</v>
      </c>
      <c r="U9" s="34" t="s">
        <v>234</v>
      </c>
      <c r="V9" s="34" t="s">
        <v>231</v>
      </c>
      <c r="W9" s="35">
        <v>272.48295330000002</v>
      </c>
      <c r="X9" s="31">
        <v>8.1535541499999997</v>
      </c>
      <c r="Y9" s="31">
        <v>34.92113518</v>
      </c>
      <c r="Z9" s="31">
        <v>1.3638216540000001</v>
      </c>
      <c r="AA9" s="33">
        <v>1.3943096E-2</v>
      </c>
      <c r="AB9" s="33">
        <v>2.5028208E-2</v>
      </c>
      <c r="AC9" s="33">
        <v>3.2996560000000001E-2</v>
      </c>
      <c r="AD9" s="35">
        <v>2014.123693</v>
      </c>
      <c r="AE9" s="34" t="s">
        <v>233</v>
      </c>
      <c r="AF9" s="33">
        <v>0.158422336</v>
      </c>
      <c r="AG9" s="35">
        <v>1089.3372890000001</v>
      </c>
      <c r="AH9" s="34" t="s">
        <v>282</v>
      </c>
      <c r="AI9" s="34" t="s">
        <v>303</v>
      </c>
      <c r="AJ9" s="34" t="s">
        <v>432</v>
      </c>
      <c r="AK9" s="34" t="s">
        <v>361</v>
      </c>
      <c r="AL9" s="33">
        <v>2.3019110999999998E-2</v>
      </c>
      <c r="AM9" s="33">
        <v>0.30510933200000001</v>
      </c>
      <c r="AN9" s="36">
        <v>6.4413895060000002</v>
      </c>
      <c r="AO9" s="36">
        <v>0.20312603400000001</v>
      </c>
      <c r="AP9" s="34" t="s">
        <v>430</v>
      </c>
      <c r="AQ9" s="35">
        <v>1929.24665</v>
      </c>
      <c r="AR9" s="35">
        <v>1031.512066</v>
      </c>
      <c r="AS9" s="37" t="s">
        <v>395</v>
      </c>
      <c r="AT9" s="37" t="s">
        <v>431</v>
      </c>
      <c r="AU9" s="35">
        <v>1041.1628820000001</v>
      </c>
      <c r="AV9" s="33">
        <v>0.46139665299999999</v>
      </c>
    </row>
    <row r="10" spans="1:48" x14ac:dyDescent="0.35">
      <c r="A10" s="30" t="s">
        <v>88</v>
      </c>
      <c r="B10" s="30" t="s">
        <v>111</v>
      </c>
      <c r="C10" s="30" t="s">
        <v>113</v>
      </c>
      <c r="D10" s="30" t="s">
        <v>409</v>
      </c>
      <c r="E10" s="30" t="s">
        <v>217</v>
      </c>
      <c r="F10" s="31">
        <v>9.8989999999999991</v>
      </c>
      <c r="G10" s="31">
        <v>12.820499999999999</v>
      </c>
      <c r="H10" s="31">
        <v>0.13450000000000001</v>
      </c>
      <c r="I10" s="31">
        <v>22.770499999999998</v>
      </c>
      <c r="J10" s="31">
        <v>54.03533333</v>
      </c>
      <c r="K10" s="31">
        <v>19.068834030000001</v>
      </c>
      <c r="L10" s="31">
        <v>4.1138208470000004</v>
      </c>
      <c r="M10" s="32">
        <v>0.16256410600000001</v>
      </c>
      <c r="N10" s="32">
        <v>0.48053719499999997</v>
      </c>
      <c r="O10" s="32">
        <v>0.73865025600000001</v>
      </c>
      <c r="P10" s="32">
        <v>0.701119304</v>
      </c>
      <c r="Q10" s="32">
        <v>5.0810180000000003E-2</v>
      </c>
      <c r="R10" s="32">
        <v>0.24807051699999999</v>
      </c>
      <c r="S10" s="32">
        <f t="shared" ref="S10:S31" si="0">1-N10</f>
        <v>0.51946280500000008</v>
      </c>
      <c r="T10" s="33">
        <v>0.26986842799999999</v>
      </c>
      <c r="U10" s="34" t="s">
        <v>234</v>
      </c>
      <c r="V10" s="34" t="s">
        <v>231</v>
      </c>
      <c r="W10" s="35">
        <v>260.9173227</v>
      </c>
      <c r="X10" s="31">
        <v>7.0788886680000003</v>
      </c>
      <c r="Y10" s="31">
        <v>29.142665319999999</v>
      </c>
      <c r="Z10" s="31">
        <v>0.77932424600000005</v>
      </c>
      <c r="AA10" s="33">
        <v>1.6765551E-2</v>
      </c>
      <c r="AB10" s="33">
        <v>1.9164377999999999E-2</v>
      </c>
      <c r="AC10" s="33">
        <v>1.6188509E-2</v>
      </c>
      <c r="AD10" s="35">
        <v>1848.3095880000001</v>
      </c>
      <c r="AE10" s="34" t="s">
        <v>233</v>
      </c>
      <c r="AF10" s="33">
        <v>0.15833628</v>
      </c>
      <c r="AG10" s="35">
        <v>967.48565870000004</v>
      </c>
      <c r="AH10" s="34" t="s">
        <v>282</v>
      </c>
      <c r="AI10" s="34" t="s">
        <v>303</v>
      </c>
      <c r="AJ10" s="34" t="s">
        <v>432</v>
      </c>
      <c r="AK10" s="34" t="s">
        <v>361</v>
      </c>
      <c r="AL10" s="33">
        <v>2.8093123000000001E-2</v>
      </c>
      <c r="AM10" s="33">
        <v>0.31660224399999998</v>
      </c>
      <c r="AN10" s="36">
        <v>5.5574345510000001</v>
      </c>
      <c r="AO10" s="36">
        <v>0.108821478</v>
      </c>
      <c r="AP10" s="34" t="s">
        <v>430</v>
      </c>
      <c r="AQ10" s="35">
        <v>1619.210566</v>
      </c>
      <c r="AR10" s="35">
        <v>844.78901640000004</v>
      </c>
      <c r="AS10" s="37" t="s">
        <v>395</v>
      </c>
      <c r="AT10" s="37" t="s">
        <v>431</v>
      </c>
      <c r="AU10" s="35">
        <v>869.56983030000004</v>
      </c>
      <c r="AV10" s="33">
        <v>0.34008513699999998</v>
      </c>
    </row>
    <row r="11" spans="1:48" x14ac:dyDescent="0.35">
      <c r="A11" s="30" t="s">
        <v>89</v>
      </c>
      <c r="B11" s="30" t="s">
        <v>111</v>
      </c>
      <c r="C11" s="30" t="s">
        <v>113</v>
      </c>
      <c r="D11" s="30" t="s">
        <v>409</v>
      </c>
      <c r="E11" s="30" t="s">
        <v>217</v>
      </c>
      <c r="F11" s="31">
        <v>12.759666666666668</v>
      </c>
      <c r="G11" s="31">
        <v>12.814666666666666</v>
      </c>
      <c r="H11" s="31">
        <v>0.09</v>
      </c>
      <c r="I11" s="31">
        <v>17.706666666666667</v>
      </c>
      <c r="J11" s="31">
        <v>55.447000000000003</v>
      </c>
      <c r="K11" s="31">
        <v>15.82126358</v>
      </c>
      <c r="L11" s="31">
        <v>3.8882964950000001</v>
      </c>
      <c r="M11" s="32">
        <v>0.181094018</v>
      </c>
      <c r="N11" s="32">
        <v>0.57373518899999998</v>
      </c>
      <c r="O11" s="32">
        <v>0.73545760999999998</v>
      </c>
      <c r="P11" s="32">
        <v>0.70050763299999996</v>
      </c>
      <c r="Q11" s="32">
        <v>4.7521402999999997E-2</v>
      </c>
      <c r="R11" s="32">
        <v>0.25197096499999999</v>
      </c>
      <c r="S11" s="32">
        <f t="shared" si="0"/>
        <v>0.42626481100000002</v>
      </c>
      <c r="T11" s="33">
        <v>0.28182020000000002</v>
      </c>
      <c r="U11" s="34" t="s">
        <v>234</v>
      </c>
      <c r="V11" s="34" t="s">
        <v>231</v>
      </c>
      <c r="W11" s="35">
        <v>216.6503074</v>
      </c>
      <c r="X11" s="31">
        <v>6.1722032469999997</v>
      </c>
      <c r="Y11" s="31">
        <v>26.846762290000001</v>
      </c>
      <c r="Z11" s="31">
        <v>0.95052841200000004</v>
      </c>
      <c r="AA11" s="33">
        <v>2.0052238999999999E-2</v>
      </c>
      <c r="AB11" s="33">
        <v>1.6626532999999999E-2</v>
      </c>
      <c r="AC11" s="33">
        <v>2.6333333E-2</v>
      </c>
      <c r="AD11" s="35">
        <v>1609.4390719999999</v>
      </c>
      <c r="AE11" s="34" t="s">
        <v>233</v>
      </c>
      <c r="AF11" s="33">
        <v>0.16429132699999999</v>
      </c>
      <c r="AG11" s="35">
        <v>1304.739617</v>
      </c>
      <c r="AH11" s="34" t="s">
        <v>282</v>
      </c>
      <c r="AI11" s="34" t="s">
        <v>303</v>
      </c>
      <c r="AJ11" s="34" t="s">
        <v>432</v>
      </c>
      <c r="AK11" s="34" t="s">
        <v>361</v>
      </c>
      <c r="AL11" s="33">
        <v>0.02</v>
      </c>
      <c r="AM11" s="33">
        <v>0.30593729400000003</v>
      </c>
      <c r="AN11" s="36">
        <v>7.3244669399999998</v>
      </c>
      <c r="AO11" s="36">
        <v>0.141896572</v>
      </c>
      <c r="AP11" s="34" t="s">
        <v>430</v>
      </c>
      <c r="AQ11" s="35">
        <v>1687.54611</v>
      </c>
      <c r="AR11" s="35">
        <v>782.53960510000002</v>
      </c>
      <c r="AS11" s="37" t="s">
        <v>395</v>
      </c>
      <c r="AT11" s="37" t="s">
        <v>431</v>
      </c>
      <c r="AU11" s="35">
        <v>446.01621130000001</v>
      </c>
      <c r="AV11" s="33">
        <v>0.44241349899999999</v>
      </c>
    </row>
    <row r="12" spans="1:48" x14ac:dyDescent="0.35">
      <c r="A12" s="30" t="s">
        <v>91</v>
      </c>
      <c r="B12" s="30" t="s">
        <v>111</v>
      </c>
      <c r="C12" s="30" t="s">
        <v>113</v>
      </c>
      <c r="D12" s="30" t="s">
        <v>409</v>
      </c>
      <c r="E12" s="30" t="s">
        <v>217</v>
      </c>
      <c r="F12" s="31">
        <v>13.699</v>
      </c>
      <c r="G12" s="31">
        <v>13.9404</v>
      </c>
      <c r="H12" s="31">
        <v>0.11700000000000001</v>
      </c>
      <c r="I12" s="31">
        <v>16.485399999999998</v>
      </c>
      <c r="J12" s="31">
        <v>55.903399999999998</v>
      </c>
      <c r="K12" s="31">
        <v>13.55909361</v>
      </c>
      <c r="L12" s="31">
        <v>3.2521303420000001</v>
      </c>
      <c r="M12" s="32">
        <v>0.17750897099999999</v>
      </c>
      <c r="N12" s="32">
        <v>0.64290524199999999</v>
      </c>
      <c r="O12" s="32">
        <v>0.72893114599999997</v>
      </c>
      <c r="P12" s="32">
        <v>0.70064926800000005</v>
      </c>
      <c r="Q12" s="32">
        <v>3.8799107999999999E-2</v>
      </c>
      <c r="R12" s="32">
        <v>0.26055162399999998</v>
      </c>
      <c r="S12" s="32">
        <f t="shared" si="0"/>
        <v>0.35709475800000001</v>
      </c>
      <c r="T12" s="33">
        <v>0.25722159100000003</v>
      </c>
      <c r="U12" s="34" t="s">
        <v>234</v>
      </c>
      <c r="V12" s="34" t="s">
        <v>231</v>
      </c>
      <c r="W12" s="35">
        <v>201.5864766</v>
      </c>
      <c r="X12" s="31">
        <v>6.7272681519999997</v>
      </c>
      <c r="Y12" s="31">
        <v>27.637739440000001</v>
      </c>
      <c r="Z12" s="31">
        <v>1.020620327</v>
      </c>
      <c r="AA12" s="33">
        <v>1.7505277999999999E-2</v>
      </c>
      <c r="AB12" s="33">
        <v>1.9461709000000001E-2</v>
      </c>
      <c r="AC12" s="33">
        <v>2.1267359E-2</v>
      </c>
      <c r="AD12" s="35">
        <v>1351.3969079999999</v>
      </c>
      <c r="AE12" s="34" t="s">
        <v>233</v>
      </c>
      <c r="AF12" s="33">
        <v>0.171172662</v>
      </c>
      <c r="AG12" s="35">
        <v>1411.393701</v>
      </c>
      <c r="AH12" s="34" t="s">
        <v>282</v>
      </c>
      <c r="AI12" s="34" t="s">
        <v>303</v>
      </c>
      <c r="AJ12" s="34" t="s">
        <v>432</v>
      </c>
      <c r="AK12" s="34" t="s">
        <v>361</v>
      </c>
      <c r="AL12" s="33">
        <v>1.7083001E-2</v>
      </c>
      <c r="AM12" s="33">
        <v>0.28729511400000002</v>
      </c>
      <c r="AN12" s="36">
        <v>6.7909969170000002</v>
      </c>
      <c r="AO12" s="36" t="s">
        <v>397</v>
      </c>
      <c r="AP12" s="34" t="s">
        <v>430</v>
      </c>
      <c r="AQ12" s="35">
        <v>1543.3295459999999</v>
      </c>
      <c r="AR12" s="35">
        <v>698.52995729999998</v>
      </c>
      <c r="AS12" s="37" t="s">
        <v>395</v>
      </c>
      <c r="AT12" s="37" t="s">
        <v>431</v>
      </c>
      <c r="AU12" s="35">
        <v>486.64206439999998</v>
      </c>
      <c r="AV12" s="33">
        <v>0.42463421699999998</v>
      </c>
    </row>
    <row r="13" spans="1:48" x14ac:dyDescent="0.35">
      <c r="A13" s="30" t="s">
        <v>92</v>
      </c>
      <c r="B13" s="30" t="s">
        <v>111</v>
      </c>
      <c r="C13" s="30" t="s">
        <v>113</v>
      </c>
      <c r="D13" s="30" t="s">
        <v>409</v>
      </c>
      <c r="E13" s="30" t="s">
        <v>217</v>
      </c>
      <c r="F13" s="31">
        <v>13.81925</v>
      </c>
      <c r="G13" s="31">
        <v>14.382250000000001</v>
      </c>
      <c r="H13" s="31">
        <v>0.34375</v>
      </c>
      <c r="I13" s="31">
        <v>17.37425</v>
      </c>
      <c r="J13" s="31">
        <v>53.676999999999992</v>
      </c>
      <c r="K13" s="31">
        <v>15.064712082233173</v>
      </c>
      <c r="L13" s="31">
        <v>7.550578780196334</v>
      </c>
      <c r="M13" s="32">
        <v>0.31081751852367262</v>
      </c>
      <c r="N13" s="32">
        <v>0.5940782460854197</v>
      </c>
      <c r="O13" s="32">
        <v>0.73438986270842421</v>
      </c>
      <c r="P13" s="32">
        <v>0.66661920579756861</v>
      </c>
      <c r="Q13" s="32">
        <v>9.2281580060103133E-2</v>
      </c>
      <c r="R13" s="32">
        <v>0.24109921414232827</v>
      </c>
      <c r="S13" s="32">
        <f t="shared" si="0"/>
        <v>0.4059217539145803</v>
      </c>
      <c r="T13" s="33">
        <v>0.28000000000000003</v>
      </c>
      <c r="U13" s="34" t="s">
        <v>234</v>
      </c>
      <c r="V13" s="34" t="s">
        <v>231</v>
      </c>
      <c r="W13" s="35">
        <v>185.24290400000001</v>
      </c>
      <c r="X13" s="31">
        <v>4.1001368899999999</v>
      </c>
      <c r="Y13" s="31">
        <v>20.838454819999999</v>
      </c>
      <c r="Z13" s="31"/>
      <c r="AA13" s="33">
        <v>2.5601281E-2</v>
      </c>
      <c r="AB13" s="33">
        <v>1.3252028000000001E-2</v>
      </c>
      <c r="AC13" s="33">
        <v>1.7212259000000001E-2</v>
      </c>
      <c r="AD13" s="35">
        <v>1066.517832</v>
      </c>
      <c r="AE13" s="34" t="s">
        <v>233</v>
      </c>
      <c r="AF13" s="33">
        <v>0.110010704</v>
      </c>
      <c r="AG13" s="35">
        <v>1007.902997</v>
      </c>
      <c r="AH13" s="34" t="s">
        <v>282</v>
      </c>
      <c r="AI13" s="34" t="s">
        <v>303</v>
      </c>
      <c r="AJ13" s="34" t="s">
        <v>432</v>
      </c>
      <c r="AK13" s="34" t="s">
        <v>361</v>
      </c>
      <c r="AL13" s="33">
        <v>1.1624219999999999E-2</v>
      </c>
      <c r="AM13" s="33">
        <v>0.24055107000000001</v>
      </c>
      <c r="AN13" s="36">
        <v>5.7027139560000002</v>
      </c>
      <c r="AO13" s="36">
        <v>0.219009445</v>
      </c>
      <c r="AP13" s="34" t="s">
        <v>430</v>
      </c>
      <c r="AQ13" s="35">
        <v>1331.3105869999999</v>
      </c>
      <c r="AR13" s="35">
        <v>732.54435239999998</v>
      </c>
      <c r="AS13" s="37" t="s">
        <v>395</v>
      </c>
      <c r="AT13" s="37" t="s">
        <v>431</v>
      </c>
      <c r="AU13" s="35">
        <v>526.82549410000001</v>
      </c>
      <c r="AV13" s="33">
        <v>0.35388009100000001</v>
      </c>
    </row>
    <row r="14" spans="1:48" x14ac:dyDescent="0.35">
      <c r="A14" s="30" t="s">
        <v>115</v>
      </c>
      <c r="B14" s="30" t="s">
        <v>99</v>
      </c>
      <c r="C14" s="30" t="s">
        <v>99</v>
      </c>
      <c r="D14" s="30" t="s">
        <v>410</v>
      </c>
      <c r="E14" s="30" t="s">
        <v>217</v>
      </c>
      <c r="F14" s="31">
        <v>12.349874999999999</v>
      </c>
      <c r="G14" s="31">
        <v>13.477499999999999</v>
      </c>
      <c r="H14" s="31">
        <v>0.19175</v>
      </c>
      <c r="I14" s="31">
        <v>18.743500000000001</v>
      </c>
      <c r="J14" s="31">
        <v>54.564875000000001</v>
      </c>
      <c r="K14" s="31">
        <v>15.25448884</v>
      </c>
      <c r="L14" s="31">
        <v>3.8735986960000002</v>
      </c>
      <c r="M14" s="32">
        <v>0.18599312500000001</v>
      </c>
      <c r="N14" s="32">
        <v>0.59061610799999997</v>
      </c>
      <c r="O14" s="32">
        <v>0.73077449100000003</v>
      </c>
      <c r="P14" s="32">
        <v>0.69638500800000003</v>
      </c>
      <c r="Q14" s="32">
        <v>4.7058954E-2</v>
      </c>
      <c r="R14" s="32">
        <v>0.25655603799999999</v>
      </c>
      <c r="S14" s="32">
        <f t="shared" si="0"/>
        <v>0.40938389200000003</v>
      </c>
      <c r="T14" s="33">
        <v>0.27043211872181833</v>
      </c>
      <c r="U14" s="34" t="s">
        <v>234</v>
      </c>
      <c r="V14" s="34" t="s">
        <v>231</v>
      </c>
      <c r="W14" s="35">
        <v>229.64271127739087</v>
      </c>
      <c r="X14" s="31">
        <v>7.7255169692506396</v>
      </c>
      <c r="Y14" s="31">
        <v>32.898989039368033</v>
      </c>
      <c r="Z14" s="31">
        <v>1.1425432586901401</v>
      </c>
      <c r="AA14" s="33">
        <v>2.116585462804435E-2</v>
      </c>
      <c r="AB14" s="33">
        <v>2.5088678914951881E-2</v>
      </c>
      <c r="AC14" s="33">
        <v>1.546498E-2</v>
      </c>
      <c r="AD14" s="35">
        <v>1548.1102277141663</v>
      </c>
      <c r="AE14" s="34" t="s">
        <v>233</v>
      </c>
      <c r="AF14" s="33">
        <v>0.17974728477602481</v>
      </c>
      <c r="AG14" s="35">
        <v>1275.3437949296431</v>
      </c>
      <c r="AH14" s="34" t="s">
        <v>282</v>
      </c>
      <c r="AI14" s="34" t="s">
        <v>303</v>
      </c>
      <c r="AJ14" s="34" t="s">
        <v>432</v>
      </c>
      <c r="AK14" s="34" t="s">
        <v>361</v>
      </c>
      <c r="AL14" s="33">
        <v>1.3432451445038105E-2</v>
      </c>
      <c r="AM14" s="33">
        <v>0.28559618543989224</v>
      </c>
      <c r="AN14" s="36">
        <v>7.4962057601152008</v>
      </c>
      <c r="AO14" s="36" t="s">
        <v>397</v>
      </c>
      <c r="AP14" s="34" t="s">
        <v>430</v>
      </c>
      <c r="AQ14" s="35">
        <v>1622.5927123309098</v>
      </c>
      <c r="AR14" s="35">
        <v>811.01325097989434</v>
      </c>
      <c r="AS14" s="37" t="s">
        <v>395</v>
      </c>
      <c r="AT14" s="37" t="s">
        <v>431</v>
      </c>
      <c r="AU14" s="35">
        <v>678.02588888576372</v>
      </c>
      <c r="AV14" s="33">
        <v>0.41962806070287978</v>
      </c>
    </row>
    <row r="15" spans="1:48" x14ac:dyDescent="0.35">
      <c r="A15" s="30" t="s">
        <v>96</v>
      </c>
      <c r="B15" s="30" t="s">
        <v>107</v>
      </c>
      <c r="C15" s="30" t="s">
        <v>112</v>
      </c>
      <c r="D15" s="30" t="s">
        <v>221</v>
      </c>
      <c r="E15" s="30" t="s">
        <v>217</v>
      </c>
      <c r="F15" s="31">
        <v>13.27045455</v>
      </c>
      <c r="G15" s="31">
        <v>15.62390909</v>
      </c>
      <c r="H15" s="31">
        <v>9.0545454999999997E-2</v>
      </c>
      <c r="I15" s="31">
        <v>19.140636359999998</v>
      </c>
      <c r="J15" s="31">
        <v>51.317363640000003</v>
      </c>
      <c r="K15" s="31">
        <v>14.413006599999999</v>
      </c>
      <c r="L15" s="31">
        <v>5.2540186020000004</v>
      </c>
      <c r="M15" s="32">
        <v>0.24699438800000001</v>
      </c>
      <c r="N15" s="32">
        <v>0.62131629300000002</v>
      </c>
      <c r="O15" s="32">
        <v>0.68774524400000003</v>
      </c>
      <c r="P15" s="32">
        <v>0.64454372900000001</v>
      </c>
      <c r="Q15" s="32">
        <v>6.2816159999999996E-2</v>
      </c>
      <c r="R15" s="32">
        <v>0.29264011099999998</v>
      </c>
      <c r="S15" s="32">
        <f t="shared" si="0"/>
        <v>0.37868370699999998</v>
      </c>
      <c r="T15" s="33">
        <v>0.35204960000000002</v>
      </c>
      <c r="U15" s="34" t="s">
        <v>234</v>
      </c>
      <c r="V15" s="34" t="s">
        <v>231</v>
      </c>
      <c r="W15" s="35">
        <v>221.3714286</v>
      </c>
      <c r="X15" s="31">
        <v>4.2171428569999998</v>
      </c>
      <c r="Y15" s="31">
        <v>31.4</v>
      </c>
      <c r="Z15" s="31">
        <v>0.59142857100000001</v>
      </c>
      <c r="AA15" s="33">
        <v>1.4142857E-2</v>
      </c>
      <c r="AB15" s="33">
        <v>2.1714285999999999E-2</v>
      </c>
      <c r="AC15" s="33">
        <v>2.2428571000000001E-2</v>
      </c>
      <c r="AD15" s="35">
        <v>1321.4285709999999</v>
      </c>
      <c r="AE15" s="34" t="s">
        <v>233</v>
      </c>
      <c r="AF15" s="33" t="s">
        <v>108</v>
      </c>
      <c r="AG15" s="35">
        <v>1029.2857140000001</v>
      </c>
      <c r="AH15" s="34" t="s">
        <v>282</v>
      </c>
      <c r="AI15" s="34" t="s">
        <v>303</v>
      </c>
      <c r="AJ15" s="34" t="s">
        <v>432</v>
      </c>
      <c r="AK15" s="34" t="s">
        <v>361</v>
      </c>
      <c r="AL15" s="33">
        <v>3.4285714000000002E-2</v>
      </c>
      <c r="AM15" s="33">
        <v>0.25485714300000001</v>
      </c>
      <c r="AN15" s="36">
        <v>7.9657142859999999</v>
      </c>
      <c r="AO15" s="36">
        <v>0.28957142899999999</v>
      </c>
      <c r="AP15" s="34" t="s">
        <v>430</v>
      </c>
      <c r="AQ15" s="35">
        <v>2113.1428569999998</v>
      </c>
      <c r="AR15" s="35">
        <v>1145.142857</v>
      </c>
      <c r="AS15" s="37" t="s">
        <v>395</v>
      </c>
      <c r="AT15" s="37" t="s">
        <v>431</v>
      </c>
      <c r="AU15" s="35">
        <v>771.2857143</v>
      </c>
      <c r="AV15" s="33">
        <v>0.41571428599999999</v>
      </c>
    </row>
    <row r="16" spans="1:48" x14ac:dyDescent="0.35">
      <c r="A16" s="30" t="s">
        <v>98</v>
      </c>
      <c r="B16" s="30" t="s">
        <v>107</v>
      </c>
      <c r="C16" s="30" t="s">
        <v>99</v>
      </c>
      <c r="D16" s="30" t="s">
        <v>410</v>
      </c>
      <c r="E16" s="30" t="s">
        <v>217</v>
      </c>
      <c r="F16" s="31">
        <v>11.265750000000001</v>
      </c>
      <c r="G16" s="31">
        <v>14.143750000000001</v>
      </c>
      <c r="H16" s="31">
        <v>9.325E-2</v>
      </c>
      <c r="I16" s="31">
        <v>20.703250000000001</v>
      </c>
      <c r="J16" s="31">
        <v>52.624749999999999</v>
      </c>
      <c r="K16" s="31">
        <v>16.98430046</v>
      </c>
      <c r="L16" s="31">
        <v>4.1330288240000002</v>
      </c>
      <c r="M16" s="32">
        <v>0.17963119499999999</v>
      </c>
      <c r="N16" s="32">
        <v>0.54170499699999997</v>
      </c>
      <c r="O16" s="32">
        <v>0.71387641499999999</v>
      </c>
      <c r="P16" s="32">
        <v>0.677707532</v>
      </c>
      <c r="Q16" s="32">
        <v>5.0665467999999998E-2</v>
      </c>
      <c r="R16" s="32">
        <v>0.27162700000000001</v>
      </c>
      <c r="S16" s="32">
        <f t="shared" si="0"/>
        <v>0.45829500300000003</v>
      </c>
      <c r="T16" s="33">
        <v>0.31234492699999999</v>
      </c>
      <c r="U16" s="34" t="s">
        <v>234</v>
      </c>
      <c r="V16" s="34" t="s">
        <v>231</v>
      </c>
      <c r="W16" s="35">
        <v>226.7667854</v>
      </c>
      <c r="X16" s="31">
        <v>4.9598719759999996</v>
      </c>
      <c r="Y16" s="31">
        <v>33.209235849999999</v>
      </c>
      <c r="Z16" s="31">
        <v>0.74225491399999999</v>
      </c>
      <c r="AA16" s="33">
        <v>2.3862253999999999E-2</v>
      </c>
      <c r="AB16" s="33">
        <v>1.8572014000000001E-2</v>
      </c>
      <c r="AC16" s="33">
        <v>1.6568656000000001E-2</v>
      </c>
      <c r="AD16" s="35">
        <v>1630.824159</v>
      </c>
      <c r="AE16" s="34" t="s">
        <v>233</v>
      </c>
      <c r="AF16" s="33">
        <v>0.14370486699999999</v>
      </c>
      <c r="AG16" s="35">
        <v>1087.4783660000001</v>
      </c>
      <c r="AH16" s="34" t="s">
        <v>282</v>
      </c>
      <c r="AI16" s="34" t="s">
        <v>303</v>
      </c>
      <c r="AJ16" s="34" t="s">
        <v>432</v>
      </c>
      <c r="AK16" s="34" t="s">
        <v>361</v>
      </c>
      <c r="AL16" s="33">
        <v>1.1321446000000001E-2</v>
      </c>
      <c r="AM16" s="33">
        <v>0.25018333700000001</v>
      </c>
      <c r="AN16" s="36">
        <v>6.306109535</v>
      </c>
      <c r="AO16" s="36" t="s">
        <v>397</v>
      </c>
      <c r="AP16" s="34" t="s">
        <v>430</v>
      </c>
      <c r="AQ16" s="35">
        <v>1874.0695599999999</v>
      </c>
      <c r="AR16" s="35">
        <v>942.51173530000005</v>
      </c>
      <c r="AS16" s="37" t="s">
        <v>395</v>
      </c>
      <c r="AT16" s="37" t="s">
        <v>431</v>
      </c>
      <c r="AU16" s="35">
        <v>760.10385880000001</v>
      </c>
      <c r="AV16" s="33">
        <v>0.40302991700000002</v>
      </c>
    </row>
    <row r="17" spans="1:48" x14ac:dyDescent="0.35">
      <c r="A17" s="30" t="s">
        <v>220</v>
      </c>
      <c r="B17" s="30" t="s">
        <v>111</v>
      </c>
      <c r="C17" s="30" t="s">
        <v>116</v>
      </c>
      <c r="D17" s="30" t="s">
        <v>410</v>
      </c>
      <c r="E17" s="30" t="s">
        <v>217</v>
      </c>
      <c r="F17" s="31">
        <v>14.3088</v>
      </c>
      <c r="G17" s="31">
        <v>13.436199999999999</v>
      </c>
      <c r="H17" s="31">
        <v>0.16139999999999999</v>
      </c>
      <c r="I17" s="31">
        <v>16.29</v>
      </c>
      <c r="J17" s="31">
        <v>55.191200000000002</v>
      </c>
      <c r="K17" s="31">
        <v>12.324445450000001</v>
      </c>
      <c r="L17" s="31">
        <v>4.4070915859999999</v>
      </c>
      <c r="M17" s="32">
        <v>0.24343490200000001</v>
      </c>
      <c r="N17" s="32">
        <v>0.67415098100000004</v>
      </c>
      <c r="O17" s="32">
        <v>0.733650476</v>
      </c>
      <c r="P17" s="32">
        <v>0.694899288</v>
      </c>
      <c r="Q17" s="32">
        <v>5.2819684999999998E-2</v>
      </c>
      <c r="R17" s="32">
        <v>0.25228102600000002</v>
      </c>
      <c r="S17" s="32">
        <f t="shared" si="0"/>
        <v>0.32584901899999996</v>
      </c>
      <c r="T17" s="33">
        <v>0.27077906299999999</v>
      </c>
      <c r="U17" s="34" t="s">
        <v>234</v>
      </c>
      <c r="V17" s="34" t="s">
        <v>231</v>
      </c>
      <c r="W17" s="35">
        <v>184.9563771</v>
      </c>
      <c r="X17" s="31">
        <v>6.9430892589999997</v>
      </c>
      <c r="Y17" s="31">
        <v>31.187027539999999</v>
      </c>
      <c r="Z17" s="31">
        <v>1.568677578</v>
      </c>
      <c r="AA17" s="33">
        <v>2.2999386E-2</v>
      </c>
      <c r="AB17" s="33">
        <v>2.0579797E-2</v>
      </c>
      <c r="AC17" s="33">
        <v>4.1890551999999998E-2</v>
      </c>
      <c r="AD17" s="35">
        <v>1306.930212</v>
      </c>
      <c r="AE17" s="34" t="s">
        <v>233</v>
      </c>
      <c r="AF17" s="33">
        <v>0.12020065200000001</v>
      </c>
      <c r="AG17" s="35">
        <v>1214.422233</v>
      </c>
      <c r="AH17" s="34" t="s">
        <v>282</v>
      </c>
      <c r="AI17" s="34" t="s">
        <v>303</v>
      </c>
      <c r="AJ17" s="34" t="s">
        <v>432</v>
      </c>
      <c r="AK17" s="34" t="s">
        <v>361</v>
      </c>
      <c r="AL17" s="33">
        <v>2.5946077000000001E-2</v>
      </c>
      <c r="AM17" s="33">
        <v>0.308451223</v>
      </c>
      <c r="AN17" s="36">
        <v>6.2448734750000003</v>
      </c>
      <c r="AO17" s="36">
        <v>0.15358899200000001</v>
      </c>
      <c r="AP17" s="34" t="s">
        <v>430</v>
      </c>
      <c r="AQ17" s="35">
        <v>1624.6743759999999</v>
      </c>
      <c r="AR17" s="35">
        <v>763.41893019999998</v>
      </c>
      <c r="AS17" s="37" t="s">
        <v>395</v>
      </c>
      <c r="AT17" s="37" t="s">
        <v>431</v>
      </c>
      <c r="AU17" s="35">
        <v>460.11620900000003</v>
      </c>
      <c r="AV17" s="33">
        <v>0.268258047</v>
      </c>
    </row>
    <row r="18" spans="1:48" x14ac:dyDescent="0.35">
      <c r="A18" s="30" t="s">
        <v>100</v>
      </c>
      <c r="B18" s="30" t="s">
        <v>107</v>
      </c>
      <c r="C18" s="30"/>
      <c r="D18" s="30" t="s">
        <v>117</v>
      </c>
      <c r="E18" s="30" t="s">
        <v>217</v>
      </c>
      <c r="F18" s="31">
        <v>9.5269999999999992</v>
      </c>
      <c r="G18" s="31">
        <v>13.3422</v>
      </c>
      <c r="H18" s="31">
        <v>0.10539999999999999</v>
      </c>
      <c r="I18" s="31">
        <v>23.381599999999999</v>
      </c>
      <c r="J18" s="31">
        <v>52.248600000000003</v>
      </c>
      <c r="K18" s="31">
        <v>19.41437024</v>
      </c>
      <c r="L18" s="31">
        <v>4.4089533190000001</v>
      </c>
      <c r="M18" s="32">
        <v>0.16967315099999999</v>
      </c>
      <c r="N18" s="32">
        <v>0.46651201199999998</v>
      </c>
      <c r="O18" s="32">
        <v>0.72421234999999995</v>
      </c>
      <c r="P18" s="32">
        <v>0.68439911099999995</v>
      </c>
      <c r="Q18" s="32">
        <v>5.4974536999999997E-2</v>
      </c>
      <c r="R18" s="32">
        <v>0.26062635099999998</v>
      </c>
      <c r="S18" s="32">
        <f t="shared" si="0"/>
        <v>0.53348798800000008</v>
      </c>
      <c r="T18" s="33">
        <v>0.28467038500000003</v>
      </c>
      <c r="U18" s="34" t="s">
        <v>234</v>
      </c>
      <c r="V18" s="34" t="s">
        <v>231</v>
      </c>
      <c r="W18" s="35">
        <v>242.0435512</v>
      </c>
      <c r="X18" s="31">
        <v>6.0139006049999999</v>
      </c>
      <c r="Y18" s="31">
        <v>27.48482881</v>
      </c>
      <c r="Z18" s="31"/>
      <c r="AA18" s="33">
        <v>1.9603806000000001E-2</v>
      </c>
      <c r="AB18" s="33">
        <v>1.6524707E-2</v>
      </c>
      <c r="AC18" s="33">
        <v>1.4599796E-2</v>
      </c>
      <c r="AD18" s="35">
        <v>1832.790285</v>
      </c>
      <c r="AE18" s="34" t="s">
        <v>233</v>
      </c>
      <c r="AF18" s="33">
        <v>0.13777668100000001</v>
      </c>
      <c r="AG18" s="35">
        <v>745.60581909999996</v>
      </c>
      <c r="AH18" s="34" t="s">
        <v>282</v>
      </c>
      <c r="AI18" s="34" t="s">
        <v>303</v>
      </c>
      <c r="AJ18" s="34" t="s">
        <v>432</v>
      </c>
      <c r="AK18" s="34" t="s">
        <v>361</v>
      </c>
      <c r="AL18" s="33" t="s">
        <v>232</v>
      </c>
      <c r="AM18" s="33">
        <v>0.23508293799999999</v>
      </c>
      <c r="AN18" s="36">
        <v>5.61993177</v>
      </c>
      <c r="AO18" s="36">
        <v>0.24382426900000001</v>
      </c>
      <c r="AP18" s="34" t="s">
        <v>430</v>
      </c>
      <c r="AQ18" s="35">
        <v>1708.0223080000001</v>
      </c>
      <c r="AR18" s="35">
        <v>831.4433133</v>
      </c>
      <c r="AS18" s="37" t="s">
        <v>395</v>
      </c>
      <c r="AT18" s="37" t="s">
        <v>431</v>
      </c>
      <c r="AU18" s="35">
        <v>922.1521371</v>
      </c>
      <c r="AV18" s="33">
        <v>0.43340254099999997</v>
      </c>
    </row>
    <row r="19" spans="1:48" x14ac:dyDescent="0.35">
      <c r="A19" s="30" t="s">
        <v>101</v>
      </c>
      <c r="B19" s="30" t="s">
        <v>107</v>
      </c>
      <c r="C19" s="30" t="s">
        <v>99</v>
      </c>
      <c r="D19" s="30" t="s">
        <v>410</v>
      </c>
      <c r="E19" s="30" t="s">
        <v>393</v>
      </c>
      <c r="F19" s="31">
        <v>12.28312942</v>
      </c>
      <c r="G19" s="31">
        <v>14.81655963</v>
      </c>
      <c r="H19" s="31">
        <v>0.1</v>
      </c>
      <c r="I19" s="31">
        <v>22.93577982</v>
      </c>
      <c r="J19" s="31">
        <v>49.382364930000001</v>
      </c>
      <c r="K19" s="31">
        <v>15.893241809999999</v>
      </c>
      <c r="L19" s="31">
        <v>7.8266758449999996</v>
      </c>
      <c r="M19" s="32">
        <v>0.30705465700000001</v>
      </c>
      <c r="N19" s="32">
        <v>0.57933933900000001</v>
      </c>
      <c r="O19" s="32">
        <v>0.69087650700000003</v>
      </c>
      <c r="P19" s="32">
        <v>0.62566288400000003</v>
      </c>
      <c r="Q19" s="32">
        <v>9.4392589999999998E-2</v>
      </c>
      <c r="R19" s="32">
        <v>0.27994452600000003</v>
      </c>
      <c r="S19" s="32">
        <f t="shared" si="0"/>
        <v>0.42066066099999999</v>
      </c>
      <c r="T19" s="33">
        <v>0.37817584100000001</v>
      </c>
      <c r="U19" s="34" t="s">
        <v>234</v>
      </c>
      <c r="V19" s="34" t="s">
        <v>231</v>
      </c>
      <c r="W19" s="35">
        <v>215.87155960000001</v>
      </c>
      <c r="X19" s="31">
        <v>6.6009174310000001</v>
      </c>
      <c r="Y19" s="31">
        <v>30.940366969999999</v>
      </c>
      <c r="Z19" s="31">
        <v>0.53692660599999997</v>
      </c>
      <c r="AA19" s="33">
        <v>1.7821100999999999E-2</v>
      </c>
      <c r="AB19" s="33">
        <v>1.8371559999999999E-2</v>
      </c>
      <c r="AC19" s="33">
        <v>1.0298165E-2</v>
      </c>
      <c r="AD19" s="35">
        <v>1601.8348619999999</v>
      </c>
      <c r="AE19" s="34" t="s">
        <v>233</v>
      </c>
      <c r="AF19" s="33" t="s">
        <v>108</v>
      </c>
      <c r="AG19" s="35">
        <v>967.4311927</v>
      </c>
      <c r="AH19" s="34" t="s">
        <v>282</v>
      </c>
      <c r="AI19" s="34" t="s">
        <v>303</v>
      </c>
      <c r="AJ19" s="34" t="s">
        <v>432</v>
      </c>
      <c r="AK19" s="34" t="s">
        <v>361</v>
      </c>
      <c r="AL19" s="33">
        <v>1.5688073E-2</v>
      </c>
      <c r="AM19" s="33">
        <v>0.244036697</v>
      </c>
      <c r="AN19" s="36">
        <v>8.3486238529999994</v>
      </c>
      <c r="AO19" s="36">
        <v>0.10396788999999999</v>
      </c>
      <c r="AP19" s="34" t="s">
        <v>430</v>
      </c>
      <c r="AQ19" s="35">
        <v>2264.5259940000001</v>
      </c>
      <c r="AR19" s="35">
        <v>1315.366972</v>
      </c>
      <c r="AS19" s="37" t="s">
        <v>395</v>
      </c>
      <c r="AT19" s="37" t="s">
        <v>431</v>
      </c>
      <c r="AU19" s="35">
        <v>969.95412839999995</v>
      </c>
      <c r="AV19" s="33" t="s">
        <v>108</v>
      </c>
    </row>
    <row r="20" spans="1:48" x14ac:dyDescent="0.35">
      <c r="A20" s="30" t="s">
        <v>102</v>
      </c>
      <c r="B20" s="30" t="s">
        <v>107</v>
      </c>
      <c r="C20" s="30" t="s">
        <v>116</v>
      </c>
      <c r="D20" s="30" t="s">
        <v>130</v>
      </c>
      <c r="E20" s="30" t="s">
        <v>393</v>
      </c>
      <c r="F20" s="31">
        <v>9.9308019479999992</v>
      </c>
      <c r="G20" s="31">
        <v>14.97234375</v>
      </c>
      <c r="H20" s="31">
        <v>8.5199999999999998E-2</v>
      </c>
      <c r="I20" s="31">
        <v>26.041666670000001</v>
      </c>
      <c r="J20" s="31">
        <v>48.738078700000003</v>
      </c>
      <c r="K20" s="31">
        <v>19.646432279999999</v>
      </c>
      <c r="L20" s="31">
        <v>7.107299458</v>
      </c>
      <c r="M20" s="32">
        <v>0.24557700099999999</v>
      </c>
      <c r="N20" s="32">
        <v>0.47389261399999999</v>
      </c>
      <c r="O20" s="32">
        <v>0.68581548800000003</v>
      </c>
      <c r="P20" s="32">
        <v>0.62620135700000001</v>
      </c>
      <c r="Q20" s="32">
        <v>8.6924446000000002E-2</v>
      </c>
      <c r="R20" s="32">
        <v>0.286874197</v>
      </c>
      <c r="S20" s="32">
        <f t="shared" si="0"/>
        <v>0.52610738600000007</v>
      </c>
      <c r="T20" s="33">
        <v>0.42250130200000002</v>
      </c>
      <c r="U20" s="34" t="s">
        <v>234</v>
      </c>
      <c r="V20" s="34" t="s">
        <v>231</v>
      </c>
      <c r="W20" s="35">
        <v>262.36979170000001</v>
      </c>
      <c r="X20" s="31">
        <v>4.5625</v>
      </c>
      <c r="Y20" s="31">
        <v>33.6796875</v>
      </c>
      <c r="Z20" s="31">
        <v>0.55989583300000001</v>
      </c>
      <c r="AA20" s="33">
        <v>1.0442708E-2</v>
      </c>
      <c r="AB20" s="33">
        <v>2.0520832999999999E-2</v>
      </c>
      <c r="AC20" s="33">
        <v>1.0833333000000001E-2</v>
      </c>
      <c r="AD20" s="35">
        <v>1915.364583</v>
      </c>
      <c r="AE20" s="34" t="s">
        <v>233</v>
      </c>
      <c r="AF20" s="33" t="s">
        <v>108</v>
      </c>
      <c r="AG20" s="35">
        <v>746.875</v>
      </c>
      <c r="AH20" s="34" t="s">
        <v>282</v>
      </c>
      <c r="AI20" s="34" t="s">
        <v>303</v>
      </c>
      <c r="AJ20" s="34" t="s">
        <v>432</v>
      </c>
      <c r="AK20" s="34" t="s">
        <v>361</v>
      </c>
      <c r="AL20" s="33">
        <v>2.0729167E-2</v>
      </c>
      <c r="AM20" s="33">
        <v>0.3125</v>
      </c>
      <c r="AN20" s="36">
        <v>6.8984375</v>
      </c>
      <c r="AO20" s="36">
        <v>0.174739583</v>
      </c>
      <c r="AP20" s="34" t="s">
        <v>430</v>
      </c>
      <c r="AQ20" s="35">
        <v>2529.947917</v>
      </c>
      <c r="AR20" s="35">
        <v>1461.979167</v>
      </c>
      <c r="AS20" s="37" t="s">
        <v>395</v>
      </c>
      <c r="AT20" s="37" t="s">
        <v>431</v>
      </c>
      <c r="AU20" s="35">
        <v>1082.03125</v>
      </c>
      <c r="AV20" s="33" t="s">
        <v>108</v>
      </c>
    </row>
    <row r="21" spans="1:48" x14ac:dyDescent="0.35">
      <c r="A21" s="30" t="s">
        <v>106</v>
      </c>
      <c r="B21" s="30" t="s">
        <v>107</v>
      </c>
      <c r="C21" s="30" t="s">
        <v>99</v>
      </c>
      <c r="D21" s="30" t="s">
        <v>437</v>
      </c>
      <c r="E21" s="30" t="s">
        <v>217</v>
      </c>
      <c r="F21" s="31">
        <v>10.05814286</v>
      </c>
      <c r="G21" s="31">
        <v>13.585000000000001</v>
      </c>
      <c r="H21" s="31">
        <v>9.3714285999999994E-2</v>
      </c>
      <c r="I21" s="31">
        <v>21.974</v>
      </c>
      <c r="J21" s="31">
        <v>53.037428570000003</v>
      </c>
      <c r="K21" s="31">
        <v>18.67565274</v>
      </c>
      <c r="L21" s="31">
        <v>3.665595385</v>
      </c>
      <c r="M21" s="32">
        <v>0.15010226900000001</v>
      </c>
      <c r="N21" s="32">
        <v>0.48972469000000002</v>
      </c>
      <c r="O21" s="32">
        <v>0.72360285499999999</v>
      </c>
      <c r="P21" s="32">
        <v>0.69072100800000003</v>
      </c>
      <c r="Q21" s="32">
        <v>4.5441842000000003E-2</v>
      </c>
      <c r="R21" s="32">
        <v>0.26383715000000002</v>
      </c>
      <c r="S21" s="32">
        <f t="shared" si="0"/>
        <v>0.51027530999999993</v>
      </c>
      <c r="T21" s="33">
        <v>0.28369623100000002</v>
      </c>
      <c r="U21" s="34" t="s">
        <v>234</v>
      </c>
      <c r="V21" s="34" t="s">
        <v>231</v>
      </c>
      <c r="W21" s="35">
        <v>239.77326840000001</v>
      </c>
      <c r="X21" s="31">
        <v>4.1555826140000001</v>
      </c>
      <c r="Y21" s="31">
        <v>29.189811899999999</v>
      </c>
      <c r="Z21" s="31">
        <v>0.87241605499999997</v>
      </c>
      <c r="AA21" s="33">
        <v>1.4238562E-2</v>
      </c>
      <c r="AB21" s="33">
        <v>2.3226395E-2</v>
      </c>
      <c r="AC21" s="33">
        <v>4.8093335000000001E-2</v>
      </c>
      <c r="AD21" s="35">
        <v>1804.6025380000001</v>
      </c>
      <c r="AE21" s="34" t="s">
        <v>233</v>
      </c>
      <c r="AF21" s="33">
        <v>0.154107671</v>
      </c>
      <c r="AG21" s="35">
        <v>1054.010366</v>
      </c>
      <c r="AH21" s="34" t="s">
        <v>282</v>
      </c>
      <c r="AI21" s="34" t="s">
        <v>303</v>
      </c>
      <c r="AJ21" s="34" t="s">
        <v>432</v>
      </c>
      <c r="AK21" s="34" t="s">
        <v>361</v>
      </c>
      <c r="AL21" s="33">
        <v>1.0445361E-2</v>
      </c>
      <c r="AM21" s="33">
        <v>0.27653507100000002</v>
      </c>
      <c r="AN21" s="36">
        <v>6.7260024459999999</v>
      </c>
      <c r="AO21" s="36" t="s">
        <v>397</v>
      </c>
      <c r="AP21" s="34" t="s">
        <v>430</v>
      </c>
      <c r="AQ21" s="35">
        <v>1702.1773860000001</v>
      </c>
      <c r="AR21" s="35">
        <v>904.82464600000003</v>
      </c>
      <c r="AS21" s="37" t="s">
        <v>395</v>
      </c>
      <c r="AT21" s="37" t="s">
        <v>431</v>
      </c>
      <c r="AU21" s="35">
        <v>670.38026520000005</v>
      </c>
      <c r="AV21" s="33">
        <v>0.34191442</v>
      </c>
    </row>
    <row r="22" spans="1:48" x14ac:dyDescent="0.35">
      <c r="A22" s="30" t="s">
        <v>378</v>
      </c>
      <c r="B22" s="30" t="s">
        <v>107</v>
      </c>
      <c r="C22" s="30" t="s">
        <v>99</v>
      </c>
      <c r="D22" s="30" t="s">
        <v>437</v>
      </c>
      <c r="E22" s="30" t="s">
        <v>217</v>
      </c>
      <c r="F22" s="31">
        <v>11.115</v>
      </c>
      <c r="G22" s="31">
        <v>14.39833333</v>
      </c>
      <c r="H22" s="31">
        <v>8.5000000000000006E-2</v>
      </c>
      <c r="I22" s="31">
        <v>21.643333330000001</v>
      </c>
      <c r="J22" s="31">
        <v>50.677999999999997</v>
      </c>
      <c r="K22" s="31">
        <v>17.056485349999999</v>
      </c>
      <c r="L22" s="31">
        <v>5.0975617480000004</v>
      </c>
      <c r="M22" s="32">
        <v>0.211928907</v>
      </c>
      <c r="N22" s="32">
        <v>0.53730439600000002</v>
      </c>
      <c r="O22" s="32">
        <v>0.70239979200000002</v>
      </c>
      <c r="P22" s="32">
        <v>0.65813734000000002</v>
      </c>
      <c r="Q22" s="32">
        <v>6.3016037999999996E-2</v>
      </c>
      <c r="R22" s="32">
        <v>0.27884662199999999</v>
      </c>
      <c r="S22" s="32">
        <f t="shared" si="0"/>
        <v>0.46269560399999998</v>
      </c>
      <c r="T22" s="33">
        <v>0.37366060299999998</v>
      </c>
      <c r="U22" s="34" t="s">
        <v>234</v>
      </c>
      <c r="V22" s="34" t="s">
        <v>231</v>
      </c>
      <c r="W22" s="35">
        <v>234.38029030000001</v>
      </c>
      <c r="X22" s="31">
        <v>8.2161953350000001</v>
      </c>
      <c r="Y22" s="31">
        <v>36.542206470000004</v>
      </c>
      <c r="Z22" s="31">
        <v>0.86975832399999997</v>
      </c>
      <c r="AA22" s="33">
        <v>1.3325131E-2</v>
      </c>
      <c r="AB22" s="33">
        <v>2.8546892000000001E-2</v>
      </c>
      <c r="AC22" s="33">
        <v>9.5178169999999996E-3</v>
      </c>
      <c r="AD22" s="35">
        <v>1697.9298670000001</v>
      </c>
      <c r="AE22" s="34" t="s">
        <v>233</v>
      </c>
      <c r="AF22" s="33">
        <v>0.15538862000000001</v>
      </c>
      <c r="AG22" s="35">
        <v>903.43987790000006</v>
      </c>
      <c r="AH22" s="34" t="s">
        <v>282</v>
      </c>
      <c r="AI22" s="34" t="s">
        <v>303</v>
      </c>
      <c r="AJ22" s="34" t="s">
        <v>432</v>
      </c>
      <c r="AK22" s="34" t="s">
        <v>361</v>
      </c>
      <c r="AL22" s="33">
        <v>1.1218119E-2</v>
      </c>
      <c r="AM22" s="33">
        <v>0.26375898399999997</v>
      </c>
      <c r="AN22" s="36">
        <v>7.3299107269999997</v>
      </c>
      <c r="AO22" s="36" t="s">
        <v>367</v>
      </c>
      <c r="AP22" s="34" t="s">
        <v>430</v>
      </c>
      <c r="AQ22" s="35">
        <v>2241.9636190000001</v>
      </c>
      <c r="AR22" s="35">
        <v>1170.6055269999999</v>
      </c>
      <c r="AS22" s="37" t="s">
        <v>395</v>
      </c>
      <c r="AT22" s="37" t="s">
        <v>431</v>
      </c>
      <c r="AU22" s="35">
        <v>769.08975450000003</v>
      </c>
      <c r="AV22" s="33">
        <v>0.38857247</v>
      </c>
    </row>
    <row r="23" spans="1:48" x14ac:dyDescent="0.35">
      <c r="A23" s="30" t="s">
        <v>222</v>
      </c>
      <c r="B23" s="30" t="s">
        <v>107</v>
      </c>
      <c r="C23" s="30" t="s">
        <v>99</v>
      </c>
      <c r="D23" s="30" t="s">
        <v>410</v>
      </c>
      <c r="E23" s="30" t="s">
        <v>217</v>
      </c>
      <c r="F23" s="31">
        <v>11.7866</v>
      </c>
      <c r="G23" s="31">
        <v>15.523999999999999</v>
      </c>
      <c r="H23" s="31">
        <v>0.1022</v>
      </c>
      <c r="I23" s="31">
        <v>20.539200000000001</v>
      </c>
      <c r="J23" s="31">
        <v>50.640999999999998</v>
      </c>
      <c r="K23" s="31">
        <v>16.410982059999998</v>
      </c>
      <c r="L23" s="31">
        <v>4.5878664259999997</v>
      </c>
      <c r="M23" s="32">
        <v>0.20099214900000001</v>
      </c>
      <c r="N23" s="32">
        <v>0.56137468599999996</v>
      </c>
      <c r="O23" s="32">
        <v>0.686271772</v>
      </c>
      <c r="P23" s="32">
        <v>0.64792566500000004</v>
      </c>
      <c r="Q23" s="32">
        <v>5.5875979999999999E-2</v>
      </c>
      <c r="R23" s="32">
        <v>0.296198356</v>
      </c>
      <c r="S23" s="32">
        <f t="shared" si="0"/>
        <v>0.43862531400000004</v>
      </c>
      <c r="T23" s="33">
        <v>0.37626330600000002</v>
      </c>
      <c r="U23" s="34" t="s">
        <v>234</v>
      </c>
      <c r="V23" s="34" t="s">
        <v>231</v>
      </c>
      <c r="W23" s="35">
        <v>222.75319440000001</v>
      </c>
      <c r="X23" s="31">
        <v>7.216389671</v>
      </c>
      <c r="Y23" s="31">
        <v>32.323628319999997</v>
      </c>
      <c r="Z23" s="31">
        <v>0.82600335300000005</v>
      </c>
      <c r="AA23" s="33">
        <v>3.6493512999999998E-2</v>
      </c>
      <c r="AB23" s="33">
        <v>1.5628791999999999E-2</v>
      </c>
      <c r="AC23" s="33">
        <v>1.0960190999999999E-2</v>
      </c>
      <c r="AD23" s="35">
        <v>1619.419187</v>
      </c>
      <c r="AE23" s="34" t="s">
        <v>233</v>
      </c>
      <c r="AF23" s="33">
        <v>0.15919045200000001</v>
      </c>
      <c r="AG23" s="35">
        <v>954.59117360000005</v>
      </c>
      <c r="AH23" s="34" t="s">
        <v>282</v>
      </c>
      <c r="AI23" s="34" t="s">
        <v>303</v>
      </c>
      <c r="AJ23" s="34" t="s">
        <v>432</v>
      </c>
      <c r="AK23" s="34" t="s">
        <v>361</v>
      </c>
      <c r="AL23" s="33">
        <v>1.4406534E-2</v>
      </c>
      <c r="AM23" s="33">
        <v>0.270606281</v>
      </c>
      <c r="AN23" s="36">
        <v>7.8477214369999997</v>
      </c>
      <c r="AO23" s="36">
        <v>0.17784499500000001</v>
      </c>
      <c r="AP23" s="34" t="s">
        <v>430</v>
      </c>
      <c r="AQ23" s="35">
        <v>2198.549931</v>
      </c>
      <c r="AR23" s="35">
        <v>1072.3321000000001</v>
      </c>
      <c r="AS23" s="37" t="s">
        <v>395</v>
      </c>
      <c r="AT23" s="37" t="s">
        <v>431</v>
      </c>
      <c r="AU23" s="35">
        <v>562.43855159999998</v>
      </c>
      <c r="AV23" s="33">
        <v>0.43462783900000002</v>
      </c>
    </row>
    <row r="24" spans="1:48" x14ac:dyDescent="0.35">
      <c r="A24" s="30" t="s">
        <v>223</v>
      </c>
      <c r="B24" s="30" t="s">
        <v>107</v>
      </c>
      <c r="C24" s="30" t="s">
        <v>112</v>
      </c>
      <c r="D24" s="30" t="s">
        <v>221</v>
      </c>
      <c r="E24" s="30" t="s">
        <v>393</v>
      </c>
      <c r="F24" s="31">
        <v>11.07816912</v>
      </c>
      <c r="G24" s="31">
        <v>14.63129595</v>
      </c>
      <c r="H24" s="31">
        <v>0.39560089900000001</v>
      </c>
      <c r="I24" s="31">
        <v>23.13703151</v>
      </c>
      <c r="J24" s="31">
        <v>49.94</v>
      </c>
      <c r="K24" s="31">
        <v>17.516099759999999</v>
      </c>
      <c r="L24" s="31">
        <v>6.2467835809999999</v>
      </c>
      <c r="M24" s="32">
        <v>0.242940921</v>
      </c>
      <c r="N24" s="32">
        <v>0.52986090600000002</v>
      </c>
      <c r="O24" s="32">
        <v>0.69593860500000004</v>
      </c>
      <c r="P24" s="32">
        <v>0.64268276899999999</v>
      </c>
      <c r="Q24" s="32">
        <v>7.6523755999999998E-2</v>
      </c>
      <c r="R24" s="32">
        <v>0.28079347500000001</v>
      </c>
      <c r="S24" s="32">
        <f t="shared" si="0"/>
        <v>0.47013909399999998</v>
      </c>
      <c r="T24" s="33">
        <v>0.40788843899999999</v>
      </c>
      <c r="U24" s="34" t="s">
        <v>234</v>
      </c>
      <c r="V24" s="34" t="s">
        <v>231</v>
      </c>
      <c r="W24" s="35">
        <v>265.22137679999997</v>
      </c>
      <c r="X24" s="31">
        <v>5.08095301</v>
      </c>
      <c r="Y24" s="31">
        <v>41.261390599999999</v>
      </c>
      <c r="Z24" s="31">
        <v>0.42036526899999999</v>
      </c>
      <c r="AA24" s="33" t="s">
        <v>303</v>
      </c>
      <c r="AB24" s="33">
        <v>2.4496868000000002E-2</v>
      </c>
      <c r="AC24" s="33">
        <v>1.0148391E-2</v>
      </c>
      <c r="AD24" s="35">
        <v>1723.905121</v>
      </c>
      <c r="AE24" s="34" t="s">
        <v>233</v>
      </c>
      <c r="AF24" s="33">
        <v>0.155797354</v>
      </c>
      <c r="AG24" s="35">
        <v>1072.1122290000001</v>
      </c>
      <c r="AH24" s="34" t="s">
        <v>282</v>
      </c>
      <c r="AI24" s="34" t="s">
        <v>303</v>
      </c>
      <c r="AJ24" s="34" t="s">
        <v>432</v>
      </c>
      <c r="AK24" s="34" t="s">
        <v>361</v>
      </c>
      <c r="AL24" s="33">
        <v>2.2354315E-2</v>
      </c>
      <c r="AM24" s="33">
        <v>0.281568494</v>
      </c>
      <c r="AN24" s="36">
        <v>8.173810971</v>
      </c>
      <c r="AO24" s="36">
        <v>0.14496732800000001</v>
      </c>
      <c r="AP24" s="34" t="s">
        <v>430</v>
      </c>
      <c r="AQ24" s="35">
        <v>2447.3306349999998</v>
      </c>
      <c r="AR24" s="35">
        <v>1306.6145509999999</v>
      </c>
      <c r="AS24" s="37" t="s">
        <v>395</v>
      </c>
      <c r="AT24" s="37" t="s">
        <v>431</v>
      </c>
      <c r="AU24" s="35">
        <v>793.14748829999996</v>
      </c>
      <c r="AV24" s="33">
        <v>0.36873177099999999</v>
      </c>
    </row>
    <row r="25" spans="1:48" x14ac:dyDescent="0.35">
      <c r="A25" s="30" t="s">
        <v>224</v>
      </c>
      <c r="B25" s="30" t="s">
        <v>107</v>
      </c>
      <c r="C25" s="30" t="s">
        <v>435</v>
      </c>
      <c r="D25" s="30" t="s">
        <v>436</v>
      </c>
      <c r="E25" s="30" t="s">
        <v>217</v>
      </c>
      <c r="F25" s="31">
        <v>8.3770000000000007</v>
      </c>
      <c r="G25" s="31">
        <v>14.9275</v>
      </c>
      <c r="H25" s="31">
        <v>8.3750000000000005E-2</v>
      </c>
      <c r="I25" s="31">
        <v>27.6065</v>
      </c>
      <c r="J25" s="31">
        <v>46.917250000000003</v>
      </c>
      <c r="K25" s="31">
        <v>21.3670741</v>
      </c>
      <c r="L25" s="31">
        <v>6.934142767</v>
      </c>
      <c r="M25" s="32">
        <v>0.226012928</v>
      </c>
      <c r="N25" s="32">
        <v>0.41129097199999998</v>
      </c>
      <c r="O25" s="32">
        <v>0.67820885600000003</v>
      </c>
      <c r="P25" s="32">
        <v>0.61913433799999995</v>
      </c>
      <c r="Q25" s="32">
        <v>8.7103726000000006E-2</v>
      </c>
      <c r="R25" s="32">
        <v>0.293761936</v>
      </c>
      <c r="S25" s="32">
        <f t="shared" si="0"/>
        <v>0.58870902800000002</v>
      </c>
      <c r="T25" s="33">
        <v>0.37906233299999997</v>
      </c>
      <c r="U25" s="34" t="s">
        <v>234</v>
      </c>
      <c r="V25" s="34" t="s">
        <v>231</v>
      </c>
      <c r="W25" s="35">
        <v>293.18945880000001</v>
      </c>
      <c r="X25" s="31">
        <v>3.4936329349999999</v>
      </c>
      <c r="Y25" s="31">
        <v>33.671827479999997</v>
      </c>
      <c r="Z25" s="31">
        <v>0.681081889</v>
      </c>
      <c r="AA25" s="33" t="s">
        <v>303</v>
      </c>
      <c r="AB25" s="33">
        <v>1.4767601E-2</v>
      </c>
      <c r="AC25" s="33" t="s">
        <v>301</v>
      </c>
      <c r="AD25" s="35">
        <v>1864.31925</v>
      </c>
      <c r="AE25" s="34" t="s">
        <v>233</v>
      </c>
      <c r="AF25" s="33">
        <v>0.15905264199999999</v>
      </c>
      <c r="AG25" s="35">
        <v>775.32742199999996</v>
      </c>
      <c r="AH25" s="34" t="s">
        <v>282</v>
      </c>
      <c r="AI25" s="34" t="s">
        <v>303</v>
      </c>
      <c r="AJ25" s="34" t="s">
        <v>432</v>
      </c>
      <c r="AK25" s="34" t="s">
        <v>361</v>
      </c>
      <c r="AL25" s="33">
        <v>2.6215056E-2</v>
      </c>
      <c r="AM25" s="33">
        <v>0.375399072</v>
      </c>
      <c r="AN25" s="36">
        <v>5.4691032570000004</v>
      </c>
      <c r="AO25" s="36">
        <v>0.14275985999999999</v>
      </c>
      <c r="AP25" s="34" t="s">
        <v>430</v>
      </c>
      <c r="AQ25" s="35">
        <v>2274.3739959999998</v>
      </c>
      <c r="AR25" s="35">
        <v>1325.777118</v>
      </c>
      <c r="AS25" s="37" t="s">
        <v>395</v>
      </c>
      <c r="AT25" s="37" t="s">
        <v>431</v>
      </c>
      <c r="AU25" s="35">
        <v>1011.725746</v>
      </c>
      <c r="AV25" s="33">
        <v>0.38155158700000003</v>
      </c>
    </row>
    <row r="26" spans="1:48" x14ac:dyDescent="0.35">
      <c r="A26" s="30" t="s">
        <v>225</v>
      </c>
      <c r="B26" s="30" t="s">
        <v>107</v>
      </c>
      <c r="C26" s="30" t="s">
        <v>99</v>
      </c>
      <c r="D26" s="30" t="s">
        <v>437</v>
      </c>
      <c r="E26" s="30" t="s">
        <v>217</v>
      </c>
      <c r="F26" s="31">
        <v>9.0109999999999992</v>
      </c>
      <c r="G26" s="31">
        <v>12.874333330000001</v>
      </c>
      <c r="H26" s="31">
        <v>0.101833333</v>
      </c>
      <c r="I26" s="31">
        <v>24.210333330000001</v>
      </c>
      <c r="J26" s="31">
        <v>51.972999999999999</v>
      </c>
      <c r="K26" s="31">
        <v>20.009416080000001</v>
      </c>
      <c r="L26" s="31">
        <v>4.6686602969999997</v>
      </c>
      <c r="M26" s="32">
        <v>0.17351753</v>
      </c>
      <c r="N26" s="32">
        <v>0.44521432</v>
      </c>
      <c r="O26" s="32">
        <v>0.73024402399999999</v>
      </c>
      <c r="P26" s="32">
        <v>0.68732629099999998</v>
      </c>
      <c r="Q26" s="32">
        <v>5.8771770000000001E-2</v>
      </c>
      <c r="R26" s="32">
        <v>0.25390193999999999</v>
      </c>
      <c r="S26" s="32">
        <f t="shared" si="0"/>
        <v>0.55478567999999995</v>
      </c>
      <c r="T26" s="33">
        <v>0.29507880199999997</v>
      </c>
      <c r="U26" s="34" t="s">
        <v>234</v>
      </c>
      <c r="V26" s="34" t="s">
        <v>231</v>
      </c>
      <c r="W26" s="35">
        <v>256.71234240000001</v>
      </c>
      <c r="X26" s="31">
        <v>7.1382663790000001</v>
      </c>
      <c r="Y26" s="31">
        <v>30.8910242</v>
      </c>
      <c r="Z26" s="31">
        <v>0.86270181599999995</v>
      </c>
      <c r="AA26" s="33">
        <v>1.7443710000000001E-2</v>
      </c>
      <c r="AB26" s="33">
        <v>1.949476E-2</v>
      </c>
      <c r="AC26" s="33">
        <v>1.7313852000000001E-2</v>
      </c>
      <c r="AD26" s="35">
        <v>1929.1641090000001</v>
      </c>
      <c r="AE26" s="34" t="s">
        <v>233</v>
      </c>
      <c r="AF26" s="33">
        <v>0.14889936100000001</v>
      </c>
      <c r="AG26" s="35">
        <v>983.65517550000004</v>
      </c>
      <c r="AH26" s="34" t="s">
        <v>282</v>
      </c>
      <c r="AI26" s="34" t="s">
        <v>303</v>
      </c>
      <c r="AJ26" s="34" t="s">
        <v>432</v>
      </c>
      <c r="AK26" s="34" t="s">
        <v>361</v>
      </c>
      <c r="AL26" s="33">
        <v>1.8468153000000001E-2</v>
      </c>
      <c r="AM26" s="33">
        <v>0.32989346400000003</v>
      </c>
      <c r="AN26" s="36">
        <v>6.876013844</v>
      </c>
      <c r="AO26" s="36">
        <v>0.129670272</v>
      </c>
      <c r="AP26" s="34" t="s">
        <v>430</v>
      </c>
      <c r="AQ26" s="35">
        <v>1770.472812</v>
      </c>
      <c r="AR26" s="35">
        <v>967.49449689999994</v>
      </c>
      <c r="AS26" s="37" t="s">
        <v>395</v>
      </c>
      <c r="AT26" s="37" t="s">
        <v>431</v>
      </c>
      <c r="AU26" s="35">
        <v>751.94449610000004</v>
      </c>
      <c r="AV26" s="33">
        <v>0.33020825599999998</v>
      </c>
    </row>
    <row r="27" spans="1:48" x14ac:dyDescent="0.35">
      <c r="A27" s="30" t="s">
        <v>226</v>
      </c>
      <c r="B27" s="30" t="s">
        <v>107</v>
      </c>
      <c r="C27" s="30" t="s">
        <v>99</v>
      </c>
      <c r="D27" s="30" t="s">
        <v>110</v>
      </c>
      <c r="E27" s="30" t="s">
        <v>217</v>
      </c>
      <c r="F27" s="31">
        <v>9.1839999999999993</v>
      </c>
      <c r="G27" s="31">
        <v>13.26633333</v>
      </c>
      <c r="H27" s="31">
        <v>0.1055</v>
      </c>
      <c r="I27" s="31">
        <v>24.404833329999999</v>
      </c>
      <c r="J27" s="31">
        <v>50.892166670000002</v>
      </c>
      <c r="K27" s="31">
        <v>19.728080340000002</v>
      </c>
      <c r="L27" s="31">
        <v>5.1974770570000004</v>
      </c>
      <c r="M27" s="32">
        <v>0.19163224500000001</v>
      </c>
      <c r="N27" s="32">
        <v>0.453423036</v>
      </c>
      <c r="O27" s="32">
        <v>0.72007866200000004</v>
      </c>
      <c r="P27" s="32">
        <v>0.67296919499999996</v>
      </c>
      <c r="Q27" s="32">
        <v>6.5422668000000003E-2</v>
      </c>
      <c r="R27" s="32">
        <v>0.26160813700000002</v>
      </c>
      <c r="S27" s="32">
        <f t="shared" si="0"/>
        <v>0.546576964</v>
      </c>
      <c r="T27" s="33">
        <v>0.30819255299999998</v>
      </c>
      <c r="U27" s="34" t="s">
        <v>234</v>
      </c>
      <c r="V27" s="34" t="s">
        <v>231</v>
      </c>
      <c r="W27" s="35">
        <v>263.04126969999999</v>
      </c>
      <c r="X27" s="31">
        <v>7.1988892010000001</v>
      </c>
      <c r="Y27" s="31">
        <v>34.086285140000001</v>
      </c>
      <c r="Z27" s="31">
        <v>0.82728749899999998</v>
      </c>
      <c r="AA27" s="33">
        <v>1.3849327E-2</v>
      </c>
      <c r="AB27" s="33">
        <v>2.4331141000000001E-2</v>
      </c>
      <c r="AC27" s="33">
        <v>1.5726764000000001E-2</v>
      </c>
      <c r="AD27" s="35">
        <v>1925.7326419999999</v>
      </c>
      <c r="AE27" s="34" t="s">
        <v>233</v>
      </c>
      <c r="AF27" s="33">
        <v>0.16333694900000001</v>
      </c>
      <c r="AG27" s="35">
        <v>991.49336819999996</v>
      </c>
      <c r="AH27" s="34" t="s">
        <v>282</v>
      </c>
      <c r="AI27" s="34" t="s">
        <v>303</v>
      </c>
      <c r="AJ27" s="34" t="s">
        <v>432</v>
      </c>
      <c r="AK27" s="34" t="s">
        <v>361</v>
      </c>
      <c r="AL27" s="33">
        <v>1.7454213999999999E-2</v>
      </c>
      <c r="AM27" s="33">
        <v>0.29344005699999998</v>
      </c>
      <c r="AN27" s="36">
        <v>6.3796229970000002</v>
      </c>
      <c r="AO27" s="36">
        <v>0.13347451799999999</v>
      </c>
      <c r="AP27" s="34" t="s">
        <v>430</v>
      </c>
      <c r="AQ27" s="35">
        <v>1849.1553160000001</v>
      </c>
      <c r="AR27" s="35">
        <v>1018.330122</v>
      </c>
      <c r="AS27" s="37" t="s">
        <v>395</v>
      </c>
      <c r="AT27" s="37" t="s">
        <v>431</v>
      </c>
      <c r="AU27" s="35">
        <v>1024.165442</v>
      </c>
      <c r="AV27" s="33">
        <v>0.337687399</v>
      </c>
    </row>
    <row r="28" spans="1:48" x14ac:dyDescent="0.35">
      <c r="A28" s="30" t="s">
        <v>227</v>
      </c>
      <c r="B28" s="30" t="s">
        <v>107</v>
      </c>
      <c r="C28" s="30" t="s">
        <v>99</v>
      </c>
      <c r="D28" s="30" t="s">
        <v>437</v>
      </c>
      <c r="E28" s="30" t="s">
        <v>217</v>
      </c>
      <c r="F28" s="31">
        <v>7.7722499999999997</v>
      </c>
      <c r="G28" s="31">
        <v>14.139374999999999</v>
      </c>
      <c r="H28" s="31">
        <v>8.7874999999999995E-2</v>
      </c>
      <c r="I28" s="31">
        <v>26.686125000000001</v>
      </c>
      <c r="J28" s="31">
        <v>49.471249999999998</v>
      </c>
      <c r="K28" s="31">
        <v>22.206244380000001</v>
      </c>
      <c r="L28" s="31">
        <v>4.9786843019999996</v>
      </c>
      <c r="M28" s="32">
        <v>0.16787302800000001</v>
      </c>
      <c r="N28" s="32">
        <v>0.38412335800000003</v>
      </c>
      <c r="O28" s="32">
        <v>0.70115429100000004</v>
      </c>
      <c r="P28" s="32">
        <v>0.65702294900000002</v>
      </c>
      <c r="Q28" s="32">
        <v>6.2940986000000004E-2</v>
      </c>
      <c r="R28" s="32">
        <v>0.280036065</v>
      </c>
      <c r="S28" s="32">
        <f t="shared" si="0"/>
        <v>0.61587664199999992</v>
      </c>
      <c r="T28" s="33">
        <v>0.37330330699999997</v>
      </c>
      <c r="U28" s="34" t="s">
        <v>234</v>
      </c>
      <c r="V28" s="34" t="s">
        <v>231</v>
      </c>
      <c r="W28" s="35">
        <v>264.28760699999998</v>
      </c>
      <c r="X28" s="31">
        <v>5.9472909830000003</v>
      </c>
      <c r="Y28" s="31">
        <v>33.017994199999997</v>
      </c>
      <c r="Z28" s="31">
        <v>0.68449666099999995</v>
      </c>
      <c r="AA28" s="33">
        <v>2.9566512E-2</v>
      </c>
      <c r="AB28" s="33">
        <v>2.1631129999999998E-2</v>
      </c>
      <c r="AC28" s="33">
        <v>2.7835166000000001E-2</v>
      </c>
      <c r="AD28" s="35">
        <v>2186.4548260000001</v>
      </c>
      <c r="AE28" s="34" t="s">
        <v>233</v>
      </c>
      <c r="AF28" s="33">
        <v>0.189577623</v>
      </c>
      <c r="AG28" s="35">
        <v>923.86903889999996</v>
      </c>
      <c r="AH28" s="34" t="s">
        <v>282</v>
      </c>
      <c r="AI28" s="34" t="s">
        <v>303</v>
      </c>
      <c r="AJ28" s="34" t="s">
        <v>432</v>
      </c>
      <c r="AK28" s="34" t="s">
        <v>361</v>
      </c>
      <c r="AL28" s="33">
        <v>2.1590702E-2</v>
      </c>
      <c r="AM28" s="33">
        <v>0.28380473000000001</v>
      </c>
      <c r="AN28" s="36">
        <v>7.200588647</v>
      </c>
      <c r="AO28" s="36">
        <v>9.8689529999999998E-2</v>
      </c>
      <c r="AP28" s="34" t="s">
        <v>430</v>
      </c>
      <c r="AQ28" s="35">
        <v>2239.8198419999999</v>
      </c>
      <c r="AR28" s="35">
        <v>1192.5243419999999</v>
      </c>
      <c r="AS28" s="37" t="s">
        <v>395</v>
      </c>
      <c r="AT28" s="37" t="s">
        <v>431</v>
      </c>
      <c r="AU28" s="35">
        <v>805.01820399999997</v>
      </c>
      <c r="AV28" s="33">
        <v>0.93237703999999999</v>
      </c>
    </row>
    <row r="29" spans="1:48" x14ac:dyDescent="0.35">
      <c r="A29" s="30">
        <v>5004</v>
      </c>
      <c r="B29" s="30" t="s">
        <v>107</v>
      </c>
      <c r="C29" s="30" t="s">
        <v>99</v>
      </c>
      <c r="D29" s="30" t="s">
        <v>437</v>
      </c>
      <c r="E29" s="30" t="s">
        <v>217</v>
      </c>
      <c r="F29" s="31">
        <v>8.4426000000000005</v>
      </c>
      <c r="G29" s="31">
        <v>14.901999999999999</v>
      </c>
      <c r="H29" s="31">
        <v>8.1799999999999998E-2</v>
      </c>
      <c r="I29" s="31">
        <v>26.639399999999998</v>
      </c>
      <c r="J29" s="31">
        <v>47.933199999999999</v>
      </c>
      <c r="K29" s="31">
        <v>21.289569109999999</v>
      </c>
      <c r="L29" s="31">
        <v>5.9454975130000003</v>
      </c>
      <c r="M29" s="32">
        <v>0.200824001</v>
      </c>
      <c r="N29" s="32">
        <v>0.414062441</v>
      </c>
      <c r="O29" s="32">
        <v>0.68323641999999996</v>
      </c>
      <c r="P29" s="32">
        <v>0.63223385600000004</v>
      </c>
      <c r="Q29" s="32">
        <v>7.4648485000000001E-2</v>
      </c>
      <c r="R29" s="32">
        <v>0.29311765899999997</v>
      </c>
      <c r="S29" s="32">
        <f t="shared" si="0"/>
        <v>0.585937559</v>
      </c>
      <c r="T29" s="33">
        <v>0.39128380899999998</v>
      </c>
      <c r="U29" s="34" t="s">
        <v>234</v>
      </c>
      <c r="V29" s="34" t="s">
        <v>231</v>
      </c>
      <c r="W29" s="35">
        <v>272.18711339999999</v>
      </c>
      <c r="X29" s="31">
        <v>4.6867613669999999</v>
      </c>
      <c r="Y29" s="31">
        <v>37.043934329999999</v>
      </c>
      <c r="Z29" s="31">
        <v>1.2599842480000001</v>
      </c>
      <c r="AA29" s="33" t="s">
        <v>303</v>
      </c>
      <c r="AB29" s="33">
        <v>3.4102897E-2</v>
      </c>
      <c r="AC29" s="33">
        <v>1.2800346000000001E-2</v>
      </c>
      <c r="AD29" s="35">
        <v>1960.4036719999999</v>
      </c>
      <c r="AE29" s="34" t="s">
        <v>233</v>
      </c>
      <c r="AF29" s="33">
        <v>0.16476105099999999</v>
      </c>
      <c r="AG29" s="35">
        <v>683.04753349999999</v>
      </c>
      <c r="AH29" s="34" t="s">
        <v>282</v>
      </c>
      <c r="AI29" s="34" t="s">
        <v>303</v>
      </c>
      <c r="AJ29" s="34" t="s">
        <v>432</v>
      </c>
      <c r="AK29" s="34" t="s">
        <v>361</v>
      </c>
      <c r="AL29" s="33">
        <v>1.7497367999999999E-2</v>
      </c>
      <c r="AM29" s="33">
        <v>0.26197599300000002</v>
      </c>
      <c r="AN29" s="36">
        <v>5.7923320150000004</v>
      </c>
      <c r="AO29" s="36" t="s">
        <v>397</v>
      </c>
      <c r="AP29" s="34" t="s">
        <v>430</v>
      </c>
      <c r="AQ29" s="35">
        <v>2347.7028570000002</v>
      </c>
      <c r="AR29" s="35">
        <v>1346.498785</v>
      </c>
      <c r="AS29" s="37" t="s">
        <v>395</v>
      </c>
      <c r="AT29" s="37" t="s">
        <v>431</v>
      </c>
      <c r="AU29" s="35">
        <v>1318.3789850000001</v>
      </c>
      <c r="AV29" s="33">
        <v>0.33874623999999998</v>
      </c>
    </row>
    <row r="30" spans="1:48" x14ac:dyDescent="0.35">
      <c r="A30" s="30">
        <v>5008</v>
      </c>
      <c r="B30" s="30" t="s">
        <v>107</v>
      </c>
      <c r="C30" s="30" t="s">
        <v>99</v>
      </c>
      <c r="D30" s="30" t="s">
        <v>373</v>
      </c>
      <c r="E30" s="30" t="s">
        <v>217</v>
      </c>
      <c r="F30" s="31">
        <v>12.506500000000001</v>
      </c>
      <c r="G30" s="31">
        <v>14.1775</v>
      </c>
      <c r="H30" s="31">
        <v>0.111666667</v>
      </c>
      <c r="I30" s="31">
        <v>18.427499999999998</v>
      </c>
      <c r="J30" s="31">
        <v>52.870166670000003</v>
      </c>
      <c r="K30" s="31">
        <v>14.868311179999999</v>
      </c>
      <c r="L30" s="31">
        <v>3.9554798510000002</v>
      </c>
      <c r="M30" s="32">
        <v>0.19314550599999999</v>
      </c>
      <c r="N30" s="32">
        <v>0.59982761799999995</v>
      </c>
      <c r="O30" s="32">
        <v>0.71433971200000002</v>
      </c>
      <c r="P30" s="32">
        <v>0.67975856400000001</v>
      </c>
      <c r="Q30" s="32">
        <v>4.8409948000000001E-2</v>
      </c>
      <c r="R30" s="32">
        <v>0.27183148800000001</v>
      </c>
      <c r="S30" s="32">
        <f t="shared" si="0"/>
        <v>0.40017238200000005</v>
      </c>
      <c r="T30" s="33">
        <v>0.33187032799999999</v>
      </c>
      <c r="U30" s="34" t="s">
        <v>234</v>
      </c>
      <c r="V30" s="34" t="s">
        <v>231</v>
      </c>
      <c r="W30" s="35">
        <v>215.64031299999999</v>
      </c>
      <c r="X30" s="31">
        <v>6.6595170970000002</v>
      </c>
      <c r="Y30" s="31">
        <v>34.065960990000001</v>
      </c>
      <c r="Z30" s="31">
        <v>0.84685240500000003</v>
      </c>
      <c r="AA30" s="33">
        <v>1.7935517000000002E-2</v>
      </c>
      <c r="AB30" s="33">
        <v>1.8686541000000001E-2</v>
      </c>
      <c r="AC30" s="33">
        <v>1.4270075E-2</v>
      </c>
      <c r="AD30" s="35">
        <v>1475.0463279999999</v>
      </c>
      <c r="AE30" s="34" t="s">
        <v>233</v>
      </c>
      <c r="AF30" s="33">
        <v>0.18298003099999999</v>
      </c>
      <c r="AG30" s="35">
        <v>1318.2944709999999</v>
      </c>
      <c r="AH30" s="34" t="s">
        <v>282</v>
      </c>
      <c r="AI30" s="34" t="s">
        <v>303</v>
      </c>
      <c r="AJ30" s="34" t="s">
        <v>432</v>
      </c>
      <c r="AK30" s="34" t="s">
        <v>361</v>
      </c>
      <c r="AL30" s="33">
        <v>1.1420461E-2</v>
      </c>
      <c r="AM30" s="33">
        <v>0.27128162900000002</v>
      </c>
      <c r="AN30" s="36">
        <v>7.4159166330000001</v>
      </c>
      <c r="AO30" s="36">
        <v>0.17507845999999999</v>
      </c>
      <c r="AP30" s="34" t="s">
        <v>430</v>
      </c>
      <c r="AQ30" s="35">
        <v>1991.2219680000001</v>
      </c>
      <c r="AR30" s="35">
        <v>1011.640475</v>
      </c>
      <c r="AS30" s="37" t="s">
        <v>395</v>
      </c>
      <c r="AT30" s="37" t="s">
        <v>431</v>
      </c>
      <c r="AU30" s="35">
        <v>636.85039889999996</v>
      </c>
      <c r="AV30" s="33">
        <v>0.39421337000000001</v>
      </c>
    </row>
    <row r="31" spans="1:48" x14ac:dyDescent="0.35">
      <c r="A31" s="30">
        <v>5014</v>
      </c>
      <c r="B31" s="30" t="s">
        <v>107</v>
      </c>
      <c r="C31" s="30" t="s">
        <v>99</v>
      </c>
      <c r="D31" s="30" t="s">
        <v>437</v>
      </c>
      <c r="E31" s="30" t="s">
        <v>217</v>
      </c>
      <c r="F31" s="31">
        <v>10.110275</v>
      </c>
      <c r="G31" s="31">
        <v>14.601333329999999</v>
      </c>
      <c r="H31" s="31">
        <v>9.0554167000000005E-2</v>
      </c>
      <c r="I31" s="31">
        <v>23.579183329999999</v>
      </c>
      <c r="J31" s="31">
        <v>49.599654170000001</v>
      </c>
      <c r="K31" s="31">
        <v>18.794552549999999</v>
      </c>
      <c r="L31" s="31">
        <v>5.3173662860000004</v>
      </c>
      <c r="M31" s="32">
        <v>0.20291757799999999</v>
      </c>
      <c r="N31" s="32">
        <v>0.48943047899999997</v>
      </c>
      <c r="O31" s="32">
        <v>0.69492437399999996</v>
      </c>
      <c r="P31" s="32">
        <v>0.64890625000000002</v>
      </c>
      <c r="Q31" s="32">
        <v>6.6220335000000005E-2</v>
      </c>
      <c r="R31" s="32">
        <v>0.28487341599999999</v>
      </c>
      <c r="S31" s="32">
        <f t="shared" si="0"/>
        <v>0.51056952100000008</v>
      </c>
      <c r="T31" s="33">
        <v>0.49339939500000002</v>
      </c>
      <c r="U31" s="34" t="s">
        <v>234</v>
      </c>
      <c r="V31" s="34" t="s">
        <v>231</v>
      </c>
      <c r="W31" s="35">
        <v>236.6342544</v>
      </c>
      <c r="X31" s="31">
        <v>6.2588767719999998</v>
      </c>
      <c r="Y31" s="31">
        <v>42.186366380000003</v>
      </c>
      <c r="Z31" s="31">
        <v>0.88410704699999998</v>
      </c>
      <c r="AA31" s="33">
        <v>2.4598831000000002E-2</v>
      </c>
      <c r="AB31" s="33">
        <v>2.3500130000000001E-2</v>
      </c>
      <c r="AC31" s="33">
        <v>1.199043E-2</v>
      </c>
      <c r="AD31" s="35">
        <v>1797.700728</v>
      </c>
      <c r="AE31" s="34" t="s">
        <v>233</v>
      </c>
      <c r="AF31" s="33">
        <v>0.151046185</v>
      </c>
      <c r="AG31" s="35">
        <v>800.47533269999997</v>
      </c>
      <c r="AH31" s="34" t="s">
        <v>282</v>
      </c>
      <c r="AI31" s="34" t="s">
        <v>303</v>
      </c>
      <c r="AJ31" s="34" t="s">
        <v>432</v>
      </c>
      <c r="AK31" s="34" t="s">
        <v>361</v>
      </c>
      <c r="AL31" s="33">
        <v>1.3092711999999999E-2</v>
      </c>
      <c r="AM31" s="33">
        <v>9.9482062999999996E-2</v>
      </c>
      <c r="AN31" s="36">
        <v>8.8906907789999998</v>
      </c>
      <c r="AO31" s="36">
        <v>0.17299910800000001</v>
      </c>
      <c r="AP31" s="34" t="s">
        <v>430</v>
      </c>
      <c r="AQ31" s="35">
        <v>2960.3963709999998</v>
      </c>
      <c r="AR31" s="35">
        <v>1548.2409580000001</v>
      </c>
      <c r="AS31" s="37" t="s">
        <v>395</v>
      </c>
      <c r="AT31" s="37" t="s">
        <v>431</v>
      </c>
      <c r="AU31" s="35">
        <v>1083.1254550000001</v>
      </c>
      <c r="AV31" s="33">
        <v>0.50320789799999999</v>
      </c>
    </row>
    <row r="32" spans="1:48" x14ac:dyDescent="0.35">
      <c r="A32" s="30"/>
      <c r="B32" s="30"/>
      <c r="C32" s="30"/>
      <c r="D32" s="30"/>
      <c r="E32" s="30"/>
      <c r="F32" s="31"/>
      <c r="G32" s="31"/>
      <c r="H32" s="31"/>
      <c r="I32" s="31"/>
      <c r="J32" s="31"/>
      <c r="K32" s="31"/>
      <c r="L32" s="31"/>
      <c r="M32" s="32"/>
      <c r="N32" s="32"/>
      <c r="O32" s="32"/>
      <c r="P32" s="32"/>
      <c r="Q32" s="32"/>
      <c r="R32" s="32"/>
      <c r="S32" s="30"/>
      <c r="T32" s="33"/>
      <c r="U32" s="34"/>
      <c r="V32" s="34"/>
      <c r="W32" s="35"/>
      <c r="X32" s="31"/>
      <c r="Y32" s="31"/>
      <c r="Z32" s="31"/>
      <c r="AA32" s="33"/>
      <c r="AB32" s="33"/>
      <c r="AC32" s="33"/>
      <c r="AD32" s="35"/>
      <c r="AE32" s="34"/>
      <c r="AF32" s="33"/>
      <c r="AG32" s="35"/>
      <c r="AH32" s="34"/>
      <c r="AI32" s="34"/>
      <c r="AJ32" s="34"/>
      <c r="AK32" s="34"/>
      <c r="AL32" s="33"/>
      <c r="AM32" s="33"/>
      <c r="AN32" s="36"/>
      <c r="AO32" s="36"/>
      <c r="AP32" s="34"/>
      <c r="AQ32" s="35"/>
      <c r="AR32" s="35"/>
      <c r="AS32" s="37"/>
      <c r="AT32" s="37"/>
      <c r="AU32" s="35"/>
      <c r="AV32" s="33"/>
    </row>
    <row r="33" spans="1:48" x14ac:dyDescent="0.35">
      <c r="A33" s="30" t="s">
        <v>394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3"/>
      <c r="U33" s="33">
        <v>2.1000000000000001E-2</v>
      </c>
      <c r="V33" s="33">
        <v>0.1</v>
      </c>
      <c r="W33" s="33">
        <v>3.3140556568234503E-2</v>
      </c>
      <c r="X33" s="33">
        <v>0.33696284459117998</v>
      </c>
      <c r="Y33" s="33">
        <v>0.08</v>
      </c>
      <c r="Z33" s="33">
        <v>1.3</v>
      </c>
      <c r="AA33" s="33">
        <v>0</v>
      </c>
      <c r="AB33" s="33">
        <v>1.8058958620986564E-2</v>
      </c>
      <c r="AC33" s="33">
        <v>0.01</v>
      </c>
      <c r="AD33" s="33">
        <v>1.0792068572399212</v>
      </c>
      <c r="AE33" s="33">
        <v>0</v>
      </c>
      <c r="AF33" s="33">
        <v>7.6037365356423376E-3</v>
      </c>
      <c r="AG33" s="33">
        <v>0.53420265735973327</v>
      </c>
      <c r="AH33" s="33">
        <v>0</v>
      </c>
      <c r="AI33" s="33">
        <v>1.2999999999999999E-2</v>
      </c>
      <c r="AJ33" s="33">
        <v>0.02</v>
      </c>
      <c r="AK33" s="33">
        <v>0</v>
      </c>
      <c r="AL33" s="33">
        <v>1.0748906161698287E-2</v>
      </c>
      <c r="AM33" s="33">
        <v>0</v>
      </c>
      <c r="AN33" s="33">
        <v>8.7928940905341577E-2</v>
      </c>
      <c r="AO33" s="33">
        <v>0.1121801297570991</v>
      </c>
      <c r="AP33" s="33">
        <v>0</v>
      </c>
      <c r="AQ33" s="33">
        <v>0.57968753287444696</v>
      </c>
      <c r="AR33" s="33">
        <v>7.4799343458471015E-2</v>
      </c>
      <c r="AS33" s="33">
        <v>3.388697149265233E-2</v>
      </c>
      <c r="AT33" s="33">
        <v>2.2320846413786007E-2</v>
      </c>
      <c r="AU33" s="33">
        <v>0.67374983914415654</v>
      </c>
      <c r="AV33" s="33">
        <v>1.3758830332182751E-2</v>
      </c>
    </row>
    <row r="34" spans="1:48" x14ac:dyDescent="0.35">
      <c r="A34" s="30" t="s">
        <v>447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3"/>
      <c r="U34" s="33">
        <v>1.5331690502640721E-2</v>
      </c>
      <c r="V34" s="33">
        <v>3.401690010839821E-2</v>
      </c>
      <c r="W34" s="33">
        <v>4.5506491103804968E-3</v>
      </c>
      <c r="X34" s="33">
        <v>8.3166313089497526E-3</v>
      </c>
      <c r="Y34" s="33">
        <v>7.7562611713084158E-3</v>
      </c>
      <c r="Z34" s="33">
        <v>4.9363282689365885E-2</v>
      </c>
      <c r="AA34" s="33">
        <v>1.4139728678166269E-2</v>
      </c>
      <c r="AB34" s="33">
        <v>3.1733301582479979E-3</v>
      </c>
      <c r="AC34" s="33">
        <v>1.01795274621699E-2</v>
      </c>
      <c r="AD34" s="33">
        <v>3.841614262015001E-3</v>
      </c>
      <c r="AE34" s="33">
        <v>2.1308907918570177E-2</v>
      </c>
      <c r="AF34" s="33">
        <v>3.9600167841263587E-3</v>
      </c>
      <c r="AG34" s="33">
        <v>2.0746612052759277E-2</v>
      </c>
      <c r="AH34" s="33">
        <v>3.3589323241231261E-2</v>
      </c>
      <c r="AI34" s="33">
        <v>1.3635234930232824E-2</v>
      </c>
      <c r="AJ34" s="33">
        <v>2.6843941623688229E-2</v>
      </c>
      <c r="AK34" s="33">
        <v>1.2193937103573077E-2</v>
      </c>
      <c r="AL34" s="33">
        <v>3.3038480464288949E-3</v>
      </c>
      <c r="AM34" s="33">
        <v>1.0073012261959472E-2</v>
      </c>
      <c r="AN34" s="33">
        <v>4.8491139057810989E-3</v>
      </c>
      <c r="AO34" s="33">
        <v>1.126292703585363E-2</v>
      </c>
      <c r="AP34" s="33">
        <v>3.937420799352667E-3</v>
      </c>
      <c r="AQ34" s="33">
        <v>8.5214856583891316E-2</v>
      </c>
      <c r="AR34" s="33">
        <v>4.6744557879176227E-3</v>
      </c>
      <c r="AS34" s="33">
        <v>1.7648293736255618E-2</v>
      </c>
      <c r="AT34" s="33">
        <v>3.6903078484182214E-3</v>
      </c>
      <c r="AU34" s="33">
        <v>3.6547749477504159E-2</v>
      </c>
      <c r="AV34" s="33">
        <v>7.1655821831796019E-3</v>
      </c>
    </row>
    <row r="35" spans="1:48" x14ac:dyDescent="0.35">
      <c r="A35" t="s">
        <v>433</v>
      </c>
      <c r="B35" t="s">
        <v>434</v>
      </c>
      <c r="U35" s="7">
        <f>MAX(U33:U34)</f>
        <v>2.1000000000000001E-2</v>
      </c>
      <c r="V35" s="7">
        <f t="shared" ref="V35:AV35" si="1">MAX(V33:V34)</f>
        <v>0.1</v>
      </c>
      <c r="W35" s="7">
        <f t="shared" si="1"/>
        <v>3.3140556568234503E-2</v>
      </c>
      <c r="X35" s="7">
        <f t="shared" si="1"/>
        <v>0.33696284459117998</v>
      </c>
      <c r="Y35" s="7">
        <f t="shared" si="1"/>
        <v>0.08</v>
      </c>
      <c r="Z35" s="7">
        <f t="shared" si="1"/>
        <v>1.3</v>
      </c>
      <c r="AA35" s="7">
        <f t="shared" si="1"/>
        <v>1.4139728678166269E-2</v>
      </c>
      <c r="AB35" s="7">
        <f t="shared" si="1"/>
        <v>1.8058958620986564E-2</v>
      </c>
      <c r="AC35" s="7">
        <f t="shared" si="1"/>
        <v>1.01795274621699E-2</v>
      </c>
      <c r="AD35" s="7">
        <f t="shared" si="1"/>
        <v>1.0792068572399212</v>
      </c>
      <c r="AE35" s="7">
        <f t="shared" si="1"/>
        <v>2.1308907918570177E-2</v>
      </c>
      <c r="AF35" s="7">
        <f t="shared" si="1"/>
        <v>7.6037365356423376E-3</v>
      </c>
      <c r="AG35" s="7">
        <f t="shared" si="1"/>
        <v>0.53420265735973327</v>
      </c>
      <c r="AH35" s="7">
        <f t="shared" si="1"/>
        <v>3.3589323241231261E-2</v>
      </c>
      <c r="AI35" s="7">
        <f t="shared" si="1"/>
        <v>1.3635234930232824E-2</v>
      </c>
      <c r="AJ35" s="7">
        <f t="shared" si="1"/>
        <v>2.6843941623688229E-2</v>
      </c>
      <c r="AK35" s="7">
        <f t="shared" si="1"/>
        <v>1.2193937103573077E-2</v>
      </c>
      <c r="AL35" s="7">
        <f t="shared" si="1"/>
        <v>1.0748906161698287E-2</v>
      </c>
      <c r="AM35" s="7">
        <f t="shared" si="1"/>
        <v>1.0073012261959472E-2</v>
      </c>
      <c r="AN35" s="7">
        <f t="shared" si="1"/>
        <v>8.7928940905341577E-2</v>
      </c>
      <c r="AO35" s="7">
        <f t="shared" si="1"/>
        <v>0.1121801297570991</v>
      </c>
      <c r="AP35" s="7">
        <f t="shared" si="1"/>
        <v>3.937420799352667E-3</v>
      </c>
      <c r="AQ35" s="7">
        <f t="shared" si="1"/>
        <v>0.57968753287444696</v>
      </c>
      <c r="AR35" s="7">
        <f t="shared" si="1"/>
        <v>7.4799343458471015E-2</v>
      </c>
      <c r="AS35" s="7">
        <f t="shared" si="1"/>
        <v>3.388697149265233E-2</v>
      </c>
      <c r="AT35" s="7">
        <f t="shared" si="1"/>
        <v>2.2320846413786007E-2</v>
      </c>
      <c r="AU35" s="7">
        <f t="shared" si="1"/>
        <v>0.67374983914415654</v>
      </c>
      <c r="AV35" s="7">
        <f t="shared" si="1"/>
        <v>1.3758830332182751E-2</v>
      </c>
    </row>
    <row r="37" spans="1:48" x14ac:dyDescent="0.35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</row>
    <row r="40" spans="1:48" x14ac:dyDescent="0.35">
      <c r="A40" s="5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</row>
    <row r="41" spans="1:48" x14ac:dyDescent="0.35">
      <c r="A41" s="5"/>
      <c r="B41" s="5"/>
      <c r="C41" s="5"/>
      <c r="D41" s="5"/>
      <c r="F41" s="5"/>
      <c r="G41" s="5"/>
      <c r="H41" s="5"/>
      <c r="I41" s="5"/>
    </row>
    <row r="42" spans="1:48" x14ac:dyDescent="0.35">
      <c r="A42" s="5"/>
      <c r="B42" s="5"/>
      <c r="C42" s="5"/>
      <c r="D42" s="5"/>
      <c r="F42" s="5"/>
      <c r="G42" s="5"/>
      <c r="H42" s="5"/>
      <c r="I42" s="5"/>
    </row>
    <row r="43" spans="1:48" x14ac:dyDescent="0.35">
      <c r="A43" s="5"/>
      <c r="B43" s="5"/>
      <c r="C43" s="5"/>
      <c r="D43" s="5"/>
      <c r="E43" s="5"/>
      <c r="G43" s="5"/>
      <c r="H43" s="5"/>
      <c r="I43" s="5"/>
    </row>
    <row r="44" spans="1:48" x14ac:dyDescent="0.35">
      <c r="A44" s="5"/>
      <c r="B44" s="5"/>
      <c r="C44" s="5"/>
      <c r="D44" s="5"/>
      <c r="E44" s="5"/>
      <c r="G44" s="5"/>
      <c r="H44" s="5"/>
      <c r="I44" s="5"/>
    </row>
    <row r="45" spans="1:48" x14ac:dyDescent="0.35">
      <c r="A45" s="5"/>
      <c r="B45" s="5"/>
      <c r="C45" s="5"/>
      <c r="D45" s="5"/>
      <c r="E45" s="5"/>
      <c r="G45" s="5"/>
      <c r="H45" s="5"/>
      <c r="I45" s="5"/>
    </row>
    <row r="46" spans="1:48" x14ac:dyDescent="0.35">
      <c r="A46" s="5"/>
      <c r="B46" s="5"/>
      <c r="C46" s="5"/>
      <c r="D46" s="5"/>
      <c r="E46" s="5"/>
      <c r="G46" s="5"/>
      <c r="H46" s="5"/>
      <c r="I46" s="5"/>
    </row>
    <row r="47" spans="1:48" x14ac:dyDescent="0.35">
      <c r="A47" s="5"/>
      <c r="B47" s="5"/>
      <c r="C47" s="5"/>
      <c r="D47" s="5"/>
      <c r="F47" s="5"/>
      <c r="G47" s="5"/>
      <c r="H47" s="5"/>
      <c r="I47" s="5"/>
    </row>
    <row r="48" spans="1:48" x14ac:dyDescent="0.35">
      <c r="A48" s="5"/>
      <c r="B48" s="5"/>
      <c r="C48" s="5"/>
      <c r="D48" s="5"/>
      <c r="E48" s="5"/>
      <c r="G48" s="5"/>
      <c r="H48" s="5"/>
      <c r="I48" s="5"/>
    </row>
    <row r="49" spans="1:9" x14ac:dyDescent="0.35">
      <c r="A49" s="5"/>
      <c r="B49" s="5"/>
      <c r="C49" s="5"/>
      <c r="D49" s="5"/>
      <c r="E49" s="5"/>
      <c r="G49" s="5"/>
      <c r="H49" s="5"/>
      <c r="I49" s="5"/>
    </row>
    <row r="50" spans="1:9" x14ac:dyDescent="0.35">
      <c r="B50" s="5"/>
    </row>
    <row r="51" spans="1:9" x14ac:dyDescent="0.35">
      <c r="A51" s="5"/>
    </row>
    <row r="52" spans="1:9" x14ac:dyDescent="0.35">
      <c r="A52" s="5"/>
    </row>
  </sheetData>
  <sortState ref="S39:W68">
    <sortCondition ref="S39:S68"/>
  </sortState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43939-3F1E-4A6F-B324-ADC6B2AC2713}">
  <dimension ref="A1:AP44"/>
  <sheetViews>
    <sheetView workbookViewId="0">
      <pane xSplit="4" ySplit="4" topLeftCell="E5" activePane="bottomRight" state="frozen"/>
      <selection pane="topRight" activeCell="F1" sqref="F1"/>
      <selection pane="bottomLeft" activeCell="A5" sqref="A5"/>
      <selection pane="bottomRight" sqref="A1:R1"/>
    </sheetView>
  </sheetViews>
  <sheetFormatPr defaultRowHeight="14.5" x14ac:dyDescent="0.35"/>
  <cols>
    <col min="1" max="1" width="18.6328125" bestFit="1" customWidth="1"/>
    <col min="5" max="5" width="10.81640625" bestFit="1" customWidth="1"/>
    <col min="6" max="7" width="11.81640625" bestFit="1" customWidth="1"/>
    <col min="8" max="8" width="10.81640625" bestFit="1" customWidth="1"/>
    <col min="9" max="12" width="11.81640625" bestFit="1" customWidth="1"/>
    <col min="14" max="14" width="11.81640625" bestFit="1" customWidth="1"/>
    <col min="29" max="29" width="9.36328125" bestFit="1" customWidth="1"/>
  </cols>
  <sheetData>
    <row r="1" spans="1:42" ht="15.5" x14ac:dyDescent="0.35">
      <c r="A1" s="2" t="s">
        <v>451</v>
      </c>
      <c r="B1" s="2"/>
      <c r="D1" s="44" t="s">
        <v>445</v>
      </c>
      <c r="E1" s="2"/>
      <c r="F1" s="2"/>
    </row>
    <row r="2" spans="1:42" x14ac:dyDescent="0.35">
      <c r="A2" t="s">
        <v>402</v>
      </c>
      <c r="B2" t="s">
        <v>327</v>
      </c>
    </row>
    <row r="3" spans="1:42" x14ac:dyDescent="0.35">
      <c r="A3" t="s">
        <v>209</v>
      </c>
      <c r="B3" t="s">
        <v>407</v>
      </c>
      <c r="C3" t="s">
        <v>120</v>
      </c>
      <c r="E3" t="s">
        <v>316</v>
      </c>
      <c r="F3" t="s">
        <v>317</v>
      </c>
      <c r="G3" t="s">
        <v>208</v>
      </c>
      <c r="H3" t="s">
        <v>124</v>
      </c>
      <c r="I3" t="s">
        <v>21</v>
      </c>
      <c r="J3" t="s">
        <v>22</v>
      </c>
      <c r="K3" t="s">
        <v>23</v>
      </c>
      <c r="L3" t="s">
        <v>318</v>
      </c>
      <c r="M3" t="s">
        <v>24</v>
      </c>
      <c r="N3" t="s">
        <v>319</v>
      </c>
      <c r="O3" t="s">
        <v>320</v>
      </c>
      <c r="P3" t="s">
        <v>27</v>
      </c>
      <c r="Q3" t="s">
        <v>32</v>
      </c>
      <c r="R3" t="s">
        <v>33</v>
      </c>
      <c r="S3" t="s">
        <v>34</v>
      </c>
      <c r="T3" t="s">
        <v>38</v>
      </c>
      <c r="U3" t="s">
        <v>39</v>
      </c>
      <c r="V3" t="s">
        <v>40</v>
      </c>
      <c r="W3" t="s">
        <v>41</v>
      </c>
      <c r="X3" t="s">
        <v>42</v>
      </c>
      <c r="Y3" t="s">
        <v>47</v>
      </c>
      <c r="Z3" t="s">
        <v>49</v>
      </c>
      <c r="AA3" t="s">
        <v>50</v>
      </c>
      <c r="AB3" t="s">
        <v>51</v>
      </c>
      <c r="AC3" t="s">
        <v>56</v>
      </c>
      <c r="AD3" t="s">
        <v>362</v>
      </c>
      <c r="AE3" t="s">
        <v>57</v>
      </c>
      <c r="AF3" t="s">
        <v>59</v>
      </c>
      <c r="AG3" t="s">
        <v>60</v>
      </c>
      <c r="AH3" t="s">
        <v>63</v>
      </c>
      <c r="AI3" t="s">
        <v>67</v>
      </c>
      <c r="AJ3" t="s">
        <v>68</v>
      </c>
      <c r="AK3" t="s">
        <v>69</v>
      </c>
      <c r="AL3" t="s">
        <v>71</v>
      </c>
      <c r="AM3" t="s">
        <v>72</v>
      </c>
      <c r="AO3" t="s">
        <v>80</v>
      </c>
    </row>
    <row r="4" spans="1:42" x14ac:dyDescent="0.35">
      <c r="E4" t="s">
        <v>132</v>
      </c>
      <c r="F4" t="s">
        <v>132</v>
      </c>
      <c r="G4" t="s">
        <v>132</v>
      </c>
      <c r="H4" t="s">
        <v>132</v>
      </c>
      <c r="I4" t="s">
        <v>132</v>
      </c>
      <c r="J4" t="s">
        <v>132</v>
      </c>
      <c r="K4" t="s">
        <v>132</v>
      </c>
      <c r="L4" t="s">
        <v>132</v>
      </c>
      <c r="M4" t="s">
        <v>132</v>
      </c>
      <c r="N4" t="s">
        <v>132</v>
      </c>
      <c r="O4" t="s">
        <v>132</v>
      </c>
      <c r="P4" t="s">
        <v>132</v>
      </c>
      <c r="Q4" t="s">
        <v>133</v>
      </c>
      <c r="R4" t="s">
        <v>133</v>
      </c>
      <c r="S4" t="s">
        <v>133</v>
      </c>
      <c r="T4" t="s">
        <v>133</v>
      </c>
      <c r="U4" t="s">
        <v>133</v>
      </c>
      <c r="V4" t="s">
        <v>133</v>
      </c>
      <c r="W4" t="s">
        <v>133</v>
      </c>
      <c r="X4" t="s">
        <v>133</v>
      </c>
      <c r="Y4" t="s">
        <v>133</v>
      </c>
      <c r="Z4" t="s">
        <v>133</v>
      </c>
      <c r="AA4" t="s">
        <v>133</v>
      </c>
      <c r="AB4" t="s">
        <v>133</v>
      </c>
      <c r="AC4" t="s">
        <v>133</v>
      </c>
      <c r="AE4" t="s">
        <v>133</v>
      </c>
      <c r="AF4" t="s">
        <v>133</v>
      </c>
      <c r="AG4" t="s">
        <v>133</v>
      </c>
      <c r="AH4" t="s">
        <v>133</v>
      </c>
      <c r="AI4" t="s">
        <v>133</v>
      </c>
      <c r="AJ4" t="s">
        <v>133</v>
      </c>
      <c r="AK4" t="s">
        <v>133</v>
      </c>
      <c r="AL4" t="s">
        <v>133</v>
      </c>
      <c r="AM4" t="s">
        <v>133</v>
      </c>
    </row>
    <row r="5" spans="1:42" x14ac:dyDescent="0.35">
      <c r="A5" t="s">
        <v>321</v>
      </c>
      <c r="B5" t="s">
        <v>107</v>
      </c>
      <c r="C5" t="s">
        <v>373</v>
      </c>
      <c r="E5" s="3">
        <v>39.737231540000003</v>
      </c>
      <c r="F5" s="7">
        <v>5.4911250000000003E-3</v>
      </c>
      <c r="G5" s="7">
        <v>0.102747924</v>
      </c>
      <c r="H5" s="3">
        <v>9.8297043689999999</v>
      </c>
      <c r="I5" s="3">
        <v>0.14515631400000001</v>
      </c>
      <c r="J5" s="3">
        <v>50.192483160000002</v>
      </c>
      <c r="K5" s="3">
        <v>0.158645382</v>
      </c>
      <c r="L5" s="7">
        <v>3.195434E-3</v>
      </c>
      <c r="M5" s="7">
        <v>1.225809E-3</v>
      </c>
      <c r="N5" s="7">
        <v>6.4645659999999997E-3</v>
      </c>
      <c r="O5" s="3">
        <v>0.11205728</v>
      </c>
      <c r="P5" s="3">
        <f>SUM(E5:O5)</f>
        <v>100.29440290300002</v>
      </c>
      <c r="Q5" s="7">
        <v>1.6816993999999998E-2</v>
      </c>
      <c r="R5" s="7">
        <v>152.02465459999999</v>
      </c>
      <c r="S5" s="7">
        <v>772.80882980000001</v>
      </c>
      <c r="T5" s="7">
        <v>1.0489856000000001E-2</v>
      </c>
      <c r="U5" s="7">
        <v>4.0618690000000001E-3</v>
      </c>
      <c r="V5" s="7">
        <v>0.218817709</v>
      </c>
      <c r="W5" s="7">
        <v>3.9154860000000001E-3</v>
      </c>
      <c r="X5" s="7">
        <v>2.7942409999999998E-3</v>
      </c>
      <c r="Y5" s="7">
        <v>5.2380150000000004E-3</v>
      </c>
      <c r="Z5" s="7">
        <v>5.0675620000000003E-3</v>
      </c>
      <c r="AA5" s="7">
        <v>9.0391410000000005E-3</v>
      </c>
      <c r="AB5" s="7">
        <v>2850.7345230000001</v>
      </c>
      <c r="AC5" s="7">
        <v>5.3060308899999997</v>
      </c>
      <c r="AD5" s="7">
        <f>AC5-(E5/2.12)/33.8*2.6</f>
        <v>3.8641864944992736</v>
      </c>
      <c r="AE5" s="7">
        <v>3.0969159999999999E-3</v>
      </c>
      <c r="AF5" s="7" t="s">
        <v>331</v>
      </c>
      <c r="AG5" s="7">
        <v>3.0897999999999999E-4</v>
      </c>
      <c r="AH5" s="7">
        <v>32.88098823</v>
      </c>
      <c r="AI5" s="7">
        <v>7.7369016469999998</v>
      </c>
      <c r="AJ5" s="7">
        <v>5.4708209999999998E-3</v>
      </c>
      <c r="AK5" s="7">
        <v>8.5159617000000007E-2</v>
      </c>
      <c r="AL5" s="7">
        <v>62.633484299999999</v>
      </c>
      <c r="AM5" s="7">
        <v>9.3455073999999999E-2</v>
      </c>
      <c r="AO5">
        <f>(J5/40)/(H5/71.84+J5/40)*100</f>
        <v>90.167877334336382</v>
      </c>
    </row>
    <row r="6" spans="1:42" x14ac:dyDescent="0.35">
      <c r="A6" t="s">
        <v>324</v>
      </c>
      <c r="B6" t="s">
        <v>107</v>
      </c>
      <c r="C6" t="s">
        <v>373</v>
      </c>
      <c r="E6" s="3">
        <v>40.320332069999999</v>
      </c>
      <c r="F6" s="7">
        <v>4.9769460000000003E-3</v>
      </c>
      <c r="G6" s="7">
        <v>9.1785600999999994E-2</v>
      </c>
      <c r="H6" s="3">
        <v>9.9699013619999999</v>
      </c>
      <c r="I6" s="3">
        <v>0.15032594799999999</v>
      </c>
      <c r="J6" s="3">
        <v>49.206780520000002</v>
      </c>
      <c r="K6" s="3">
        <v>0.53514100499999995</v>
      </c>
      <c r="L6" s="7">
        <v>3.3879219999999998E-3</v>
      </c>
      <c r="M6" s="7">
        <v>1.2787300000000001E-3</v>
      </c>
      <c r="N6" s="7">
        <v>4.2467190000000004E-3</v>
      </c>
      <c r="O6" s="3">
        <v>0.102026222</v>
      </c>
      <c r="P6" s="3">
        <f>SUM(E6:O6)</f>
        <v>100.390183045</v>
      </c>
      <c r="Q6" s="7">
        <v>1.7090589999999999E-2</v>
      </c>
      <c r="R6" s="7">
        <v>146.06281670000001</v>
      </c>
      <c r="S6" s="7">
        <v>703.62911410000004</v>
      </c>
      <c r="T6" s="7">
        <v>1.1110780000000001E-2</v>
      </c>
      <c r="U6" s="7">
        <v>4.263569E-3</v>
      </c>
      <c r="V6" s="7">
        <v>0.26001848300000002</v>
      </c>
      <c r="W6" s="7">
        <v>6.9348109999999999E-3</v>
      </c>
      <c r="X6" s="7">
        <v>1.171449E-3</v>
      </c>
      <c r="Y6" s="7">
        <v>5.7930890000000004E-3</v>
      </c>
      <c r="Z6" s="7">
        <v>2.5941499999999999E-3</v>
      </c>
      <c r="AA6" s="7">
        <v>8.502351E-3</v>
      </c>
      <c r="AB6" s="7">
        <v>2851.5838290000002</v>
      </c>
      <c r="AC6" s="7">
        <v>5.6185328510000003</v>
      </c>
      <c r="AD6" s="7">
        <f>AC6-(E6/2.12)/33.8*2.6</f>
        <v>4.1555309616676341</v>
      </c>
      <c r="AE6" s="7">
        <v>3.078393E-3</v>
      </c>
      <c r="AF6" s="7" t="s">
        <v>331</v>
      </c>
      <c r="AG6" s="7">
        <v>1.58006E-4</v>
      </c>
      <c r="AH6" s="7">
        <v>29.80207167</v>
      </c>
      <c r="AI6" s="7">
        <v>7.6287875329999997</v>
      </c>
      <c r="AJ6" s="7">
        <v>2.6999810000000002E-3</v>
      </c>
      <c r="AK6" s="7">
        <v>0.10130639399999999</v>
      </c>
      <c r="AL6" s="7">
        <v>66.923824569999994</v>
      </c>
      <c r="AM6" s="7">
        <v>2.6644656999999999E-2</v>
      </c>
      <c r="AO6">
        <f>(J6/40)/(H6/71.84+J6/40)*100</f>
        <v>89.862348812731668</v>
      </c>
    </row>
    <row r="7" spans="1:42" x14ac:dyDescent="0.35">
      <c r="A7" t="s">
        <v>323</v>
      </c>
      <c r="B7" t="s">
        <v>107</v>
      </c>
      <c r="C7" t="s">
        <v>373</v>
      </c>
      <c r="E7" s="3">
        <v>40.107038369999998</v>
      </c>
      <c r="F7" s="7">
        <v>3.1180589999999998E-3</v>
      </c>
      <c r="G7" s="7">
        <v>6.1247897000000003E-2</v>
      </c>
      <c r="H7" s="3">
        <v>11.027240040000001</v>
      </c>
      <c r="I7" s="3">
        <v>0.15800832300000001</v>
      </c>
      <c r="J7" s="3">
        <v>48.698369210000003</v>
      </c>
      <c r="K7" s="3">
        <v>0.21947567400000001</v>
      </c>
      <c r="L7" s="7">
        <v>3.509369E-3</v>
      </c>
      <c r="M7" s="7">
        <v>8.6482300000000002E-4</v>
      </c>
      <c r="N7" s="7">
        <v>9.3483000000000004E-3</v>
      </c>
      <c r="O7" s="3">
        <v>0.100727686</v>
      </c>
      <c r="P7" s="3">
        <f>SUM(E7:O7)</f>
        <v>100.38894775099999</v>
      </c>
      <c r="Q7" s="7">
        <v>7.9730229999999992E-3</v>
      </c>
      <c r="R7" s="7">
        <v>162.81140569999999</v>
      </c>
      <c r="S7" s="7">
        <v>694.67369680000002</v>
      </c>
      <c r="T7" s="7">
        <v>1.0426836E-2</v>
      </c>
      <c r="U7" s="7">
        <v>2.8278230000000001E-3</v>
      </c>
      <c r="V7" s="7">
        <v>0.14221046800000001</v>
      </c>
      <c r="W7" s="7">
        <v>4.1554519999999996E-3</v>
      </c>
      <c r="X7" s="7">
        <v>9.1920999999999995E-4</v>
      </c>
      <c r="Y7" s="7">
        <v>4.7955610000000003E-3</v>
      </c>
      <c r="Z7" s="7">
        <v>1.3278090000000001E-3</v>
      </c>
      <c r="AA7" s="7">
        <v>1.3526900999999999E-2</v>
      </c>
      <c r="AB7" s="7">
        <v>2350.06016</v>
      </c>
      <c r="AC7" s="7">
        <v>5.0448796529999997</v>
      </c>
      <c r="AD7" s="7">
        <f>AC7-(E7/2.12)/33.8*2.6</f>
        <v>3.5896170125790996</v>
      </c>
      <c r="AE7" s="7">
        <v>1.9633020000000001E-3</v>
      </c>
      <c r="AF7" s="7" t="s">
        <v>331</v>
      </c>
      <c r="AG7" s="7">
        <v>1.7960900000000001E-4</v>
      </c>
      <c r="AH7" s="7">
        <v>18.67101362</v>
      </c>
      <c r="AI7" s="7">
        <v>7.1502129310000004</v>
      </c>
      <c r="AJ7" s="7">
        <v>6.8378677999999998E-2</v>
      </c>
      <c r="AK7" s="7">
        <v>7.6520323000000001E-2</v>
      </c>
      <c r="AL7" s="7">
        <v>69.67596107</v>
      </c>
      <c r="AM7" s="7">
        <v>1.7975603999999999E-2</v>
      </c>
      <c r="AO7">
        <f>(J7/40)/(H7/71.84+J7/40)*100</f>
        <v>88.803640192512262</v>
      </c>
    </row>
    <row r="8" spans="1:42" x14ac:dyDescent="0.35">
      <c r="A8" t="s">
        <v>325</v>
      </c>
      <c r="B8" t="s">
        <v>107</v>
      </c>
      <c r="C8" t="s">
        <v>446</v>
      </c>
      <c r="E8" s="3">
        <v>42.284972369999998</v>
      </c>
      <c r="F8" s="7">
        <v>5.2093560000000001E-3</v>
      </c>
      <c r="G8" s="7">
        <v>9.7851675999999999E-2</v>
      </c>
      <c r="H8" s="3">
        <v>13.095511849999999</v>
      </c>
      <c r="I8" s="3">
        <f>0.12*1.29</f>
        <v>0.15479999999999999</v>
      </c>
      <c r="J8" s="3">
        <v>44.218561289999997</v>
      </c>
      <c r="K8" s="3">
        <v>0.22607928499999999</v>
      </c>
      <c r="L8" s="7">
        <v>7.0017229999999996E-3</v>
      </c>
      <c r="M8" s="7">
        <v>9.1379259999999993E-3</v>
      </c>
      <c r="N8" s="7">
        <v>6.0883873999999998E-2</v>
      </c>
      <c r="O8" s="3">
        <v>0.17675253499999999</v>
      </c>
      <c r="P8" s="3">
        <f>SUM(E8:O8)</f>
        <v>100.33676188499999</v>
      </c>
      <c r="Q8" s="7">
        <v>3.4384948999999998E-2</v>
      </c>
      <c r="R8" s="7">
        <v>143.21577110000001</v>
      </c>
      <c r="S8" s="7">
        <v>1218.9829999999999</v>
      </c>
      <c r="T8" s="7">
        <v>4.6572644000000003E-2</v>
      </c>
      <c r="U8" s="7">
        <v>4.1544662000000003E-2</v>
      </c>
      <c r="V8" s="7">
        <v>0.25289331399999998</v>
      </c>
      <c r="W8" s="7">
        <v>7.0573429999999998E-3</v>
      </c>
      <c r="X8" s="7">
        <v>-1.4086389999999999E-3</v>
      </c>
      <c r="Y8" s="7">
        <v>4.600069E-3</v>
      </c>
      <c r="Z8" s="7">
        <v>0</v>
      </c>
      <c r="AA8" s="7">
        <v>4.0148134000000002E-2</v>
      </c>
      <c r="AB8" s="7">
        <v>1637.001049</v>
      </c>
      <c r="AC8" s="7">
        <v>8.2200000000000006</v>
      </c>
      <c r="AD8" s="7">
        <f>AC8-(E8/2.12)/33.8*2.6</f>
        <v>6.6857121781567495</v>
      </c>
      <c r="AE8" s="7">
        <v>-6.91813E-4</v>
      </c>
      <c r="AF8" s="7">
        <v>0.96012136599999998</v>
      </c>
      <c r="AG8" s="7">
        <v>8.3852799999999995E-4</v>
      </c>
      <c r="AH8" s="7">
        <v>31.38166081</v>
      </c>
      <c r="AI8" s="7">
        <v>13.20588751</v>
      </c>
      <c r="AJ8" s="7"/>
      <c r="AK8" s="7"/>
      <c r="AL8" s="7">
        <v>78.688731399999995</v>
      </c>
      <c r="AM8" s="7">
        <v>5.3389314E-2</v>
      </c>
      <c r="AO8">
        <f>(J8/40)/(H8/71.84+J8/40)*100</f>
        <v>85.844533611064222</v>
      </c>
    </row>
    <row r="9" spans="1:42" x14ac:dyDescent="0.35">
      <c r="A9" t="s">
        <v>322</v>
      </c>
      <c r="B9" t="s">
        <v>107</v>
      </c>
      <c r="C9" t="s">
        <v>446</v>
      </c>
      <c r="E9" s="3">
        <v>40.309208720000001</v>
      </c>
      <c r="F9" s="7">
        <v>3.7933810000000002E-3</v>
      </c>
      <c r="G9" s="7">
        <v>9.2714126999999993E-2</v>
      </c>
      <c r="H9" s="3">
        <v>13.87602278</v>
      </c>
      <c r="I9" s="3">
        <v>0.19817157499999999</v>
      </c>
      <c r="J9" s="3">
        <v>45.186005510000001</v>
      </c>
      <c r="K9" s="3">
        <v>0.38810450600000002</v>
      </c>
      <c r="L9" s="7">
        <v>6.7022920000000003E-3</v>
      </c>
      <c r="M9" s="7">
        <v>1.8247068000000002E-2</v>
      </c>
      <c r="N9" s="7">
        <v>2.6858666999999999E-2</v>
      </c>
      <c r="O9" s="3">
        <v>0.116125516</v>
      </c>
      <c r="P9" s="3">
        <f>SUM(E9:O9)</f>
        <v>100.221954142</v>
      </c>
      <c r="Q9" s="7">
        <v>3.2722132000000001E-2</v>
      </c>
      <c r="R9" s="7">
        <v>169.18662789999999</v>
      </c>
      <c r="S9" s="7">
        <v>794.29217519999997</v>
      </c>
      <c r="T9" s="7">
        <v>2.5360397E-2</v>
      </c>
      <c r="U9" s="7">
        <v>7.0050169999999997E-3</v>
      </c>
      <c r="V9" s="7">
        <v>0.25475677299999999</v>
      </c>
      <c r="W9" s="7">
        <v>1.1285796000000001E-2</v>
      </c>
      <c r="X9" s="7">
        <v>2.2560700000000002E-3</v>
      </c>
      <c r="Y9" s="7">
        <v>7.8325519999999996E-3</v>
      </c>
      <c r="Z9" s="7">
        <v>3.0086980000000002E-3</v>
      </c>
      <c r="AA9" s="7">
        <v>1.6543604999999999E-2</v>
      </c>
      <c r="AB9" s="7">
        <v>1713.7878430000001</v>
      </c>
      <c r="AC9" s="7">
        <v>7.6878689639999997</v>
      </c>
      <c r="AD9" s="7">
        <f>AC9-(E9/2.12)/33.8*2.6</f>
        <v>6.2252706795297534</v>
      </c>
      <c r="AE9" s="7">
        <v>6.5833849999999998E-3</v>
      </c>
      <c r="AF9" s="7">
        <v>0.31444611</v>
      </c>
      <c r="AG9" s="7">
        <v>8.2608099999999999E-4</v>
      </c>
      <c r="AH9" s="7">
        <v>22.728465629999999</v>
      </c>
      <c r="AI9" s="7">
        <v>8.5418138320000008</v>
      </c>
      <c r="AJ9" s="7"/>
      <c r="AK9" s="7"/>
      <c r="AL9" s="7">
        <v>91.046606269999998</v>
      </c>
      <c r="AM9" s="7">
        <v>6.4879709999999993E-2</v>
      </c>
      <c r="AO9">
        <f>(J9/40)/(H9/71.84+J9/40)*100</f>
        <v>85.398284929191846</v>
      </c>
    </row>
    <row r="10" spans="1:42" x14ac:dyDescent="0.35">
      <c r="A10" t="s">
        <v>403</v>
      </c>
      <c r="B10" t="s">
        <v>111</v>
      </c>
      <c r="C10" t="s">
        <v>442</v>
      </c>
      <c r="E10" s="3">
        <v>52.983590450000001</v>
      </c>
      <c r="F10" s="7">
        <v>0.41499215099999998</v>
      </c>
      <c r="G10" s="7">
        <v>3.9199973969999999</v>
      </c>
      <c r="H10" s="3">
        <v>11.187855770000001</v>
      </c>
      <c r="I10" s="3">
        <v>0.27554531799999998</v>
      </c>
      <c r="J10" s="3">
        <v>18.929012650000001</v>
      </c>
      <c r="K10" s="3">
        <v>12.061918049999999</v>
      </c>
      <c r="L10" s="7">
        <v>9.8760154000000003E-2</v>
      </c>
      <c r="M10" s="7">
        <v>3.7496089000000003E-2</v>
      </c>
      <c r="N10" s="7">
        <v>2.3166058E-2</v>
      </c>
      <c r="O10" s="3">
        <v>0.39688806900000001</v>
      </c>
      <c r="P10" s="3">
        <f t="shared" ref="P10:P14" si="0">SUM(E10:O10)</f>
        <v>100.32922215600001</v>
      </c>
      <c r="Q10" s="7">
        <v>1.917271019</v>
      </c>
      <c r="R10" s="7">
        <v>68.456120659999996</v>
      </c>
      <c r="S10" s="7">
        <v>2714.6926749999998</v>
      </c>
      <c r="T10" s="7">
        <v>1.328732695</v>
      </c>
      <c r="U10" s="7">
        <v>0.26531502499999998</v>
      </c>
      <c r="V10" s="7">
        <v>4.6334615799999996</v>
      </c>
      <c r="W10" s="7">
        <v>1.3272240479999999</v>
      </c>
      <c r="X10" s="7">
        <v>0.62102153299999996</v>
      </c>
      <c r="Y10" s="7">
        <v>0.18988085199999999</v>
      </c>
      <c r="Z10" s="7">
        <v>0.40085367999999999</v>
      </c>
      <c r="AA10" s="7">
        <v>1.9633815240000001</v>
      </c>
      <c r="AB10" s="7">
        <v>361.67621709999997</v>
      </c>
      <c r="AC10" s="7">
        <v>63.43</v>
      </c>
      <c r="AD10" s="7">
        <f t="shared" ref="AD10:AD14" si="1">AC10-(E10/2.12)/33.8*2.6</f>
        <v>61.507518488751813</v>
      </c>
      <c r="AE10" s="7">
        <v>0.854916605</v>
      </c>
      <c r="AF10" s="7">
        <v>5.8058281850000002</v>
      </c>
      <c r="AG10" s="7">
        <v>5.7150289E-2</v>
      </c>
      <c r="AH10" s="7">
        <v>2486.4718469999998</v>
      </c>
      <c r="AI10" s="7">
        <v>262.3103989</v>
      </c>
      <c r="AJ10" s="7"/>
      <c r="AK10" s="7"/>
      <c r="AL10" s="7">
        <v>79.007339250000001</v>
      </c>
      <c r="AM10" s="7">
        <v>20.749756810000001</v>
      </c>
      <c r="AO10">
        <f t="shared" ref="AO10:AO14" si="2">(J10/40)/(H10/71.84+J10/40)*100</f>
        <v>75.239540510005838</v>
      </c>
    </row>
    <row r="11" spans="1:42" x14ac:dyDescent="0.35">
      <c r="A11" t="s">
        <v>404</v>
      </c>
      <c r="B11" t="s">
        <v>111</v>
      </c>
      <c r="C11" t="s">
        <v>442</v>
      </c>
      <c r="E11" s="3">
        <v>54.788781849999999</v>
      </c>
      <c r="F11" s="7">
        <v>0.187944952</v>
      </c>
      <c r="G11" s="7">
        <v>3.1701613009999998</v>
      </c>
      <c r="H11" s="3">
        <v>10.988857299999999</v>
      </c>
      <c r="I11" s="3">
        <v>0.272364575</v>
      </c>
      <c r="J11" s="3">
        <v>25.177779959999999</v>
      </c>
      <c r="K11" s="3">
        <v>4.46381899</v>
      </c>
      <c r="L11" s="7">
        <v>7.0431269000000005E-2</v>
      </c>
      <c r="M11" s="7">
        <v>1.0953931E-2</v>
      </c>
      <c r="N11" s="7">
        <v>1.3236324000000001E-2</v>
      </c>
      <c r="O11" s="3">
        <v>1.1396379219999999</v>
      </c>
      <c r="P11" s="3">
        <f t="shared" si="0"/>
        <v>100.28396837400001</v>
      </c>
      <c r="Q11" s="7">
        <v>1.034252304</v>
      </c>
      <c r="R11" s="7">
        <v>94.160679560000005</v>
      </c>
      <c r="S11" s="7">
        <v>7922.3653539999996</v>
      </c>
      <c r="T11" s="7">
        <v>0.51303845299999995</v>
      </c>
      <c r="U11" s="7">
        <v>0.12918211499999999</v>
      </c>
      <c r="V11" s="7">
        <v>3.3822398630000001</v>
      </c>
      <c r="W11" s="7">
        <v>0.434529202</v>
      </c>
      <c r="X11" s="7">
        <v>0.153699789</v>
      </c>
      <c r="Y11" s="7">
        <v>7.3868956E-2</v>
      </c>
      <c r="Z11" s="7">
        <v>0.19049819600000001</v>
      </c>
      <c r="AA11" s="7">
        <v>0.82103576899999997</v>
      </c>
      <c r="AB11" s="7">
        <v>569.77100940000003</v>
      </c>
      <c r="AC11" s="7">
        <v>36.67</v>
      </c>
      <c r="AD11" s="7">
        <f t="shared" si="1"/>
        <v>34.682018075108857</v>
      </c>
      <c r="AE11" s="7">
        <v>0.33525383399999997</v>
      </c>
      <c r="AF11" s="7">
        <v>2.9735766419999998</v>
      </c>
      <c r="AG11" s="7">
        <v>2.3264033999999999E-2</v>
      </c>
      <c r="AH11" s="7">
        <v>1126.0931840000001</v>
      </c>
      <c r="AI11" s="7">
        <v>116.7563354</v>
      </c>
      <c r="AJ11" s="7"/>
      <c r="AK11" s="7"/>
      <c r="AL11" s="7">
        <v>74.876849719999996</v>
      </c>
      <c r="AM11" s="7">
        <v>4.9147339179999996</v>
      </c>
      <c r="AO11">
        <f t="shared" si="2"/>
        <v>80.44970830946329</v>
      </c>
    </row>
    <row r="12" spans="1:42" x14ac:dyDescent="0.35">
      <c r="A12" t="s">
        <v>328</v>
      </c>
      <c r="B12" t="s">
        <v>111</v>
      </c>
      <c r="C12" t="s">
        <v>442</v>
      </c>
      <c r="E12" s="3">
        <v>53.106786900000003</v>
      </c>
      <c r="F12" s="7">
        <v>0.40022987399999999</v>
      </c>
      <c r="G12" s="7">
        <v>3.8655752080000001</v>
      </c>
      <c r="H12" s="3">
        <v>11.18480813</v>
      </c>
      <c r="I12" s="3">
        <v>0.27563790399999999</v>
      </c>
      <c r="J12" s="3">
        <v>19.320502690000001</v>
      </c>
      <c r="K12" s="3">
        <v>11.574792860000001</v>
      </c>
      <c r="L12" s="7">
        <v>9.6852619000000001E-2</v>
      </c>
      <c r="M12" s="7">
        <v>3.5759191000000003E-2</v>
      </c>
      <c r="N12" s="7">
        <v>2.2419225000000001E-2</v>
      </c>
      <c r="O12" s="3">
        <v>0.443101517</v>
      </c>
      <c r="P12" s="3">
        <f t="shared" si="0"/>
        <v>100.32646611800001</v>
      </c>
      <c r="Q12" s="7">
        <v>1.8555421329999999</v>
      </c>
      <c r="R12" s="7">
        <v>70.106546199999997</v>
      </c>
      <c r="S12" s="7">
        <v>3028.653781</v>
      </c>
      <c r="T12" s="7">
        <v>1.27475859</v>
      </c>
      <c r="U12" s="7">
        <v>0.25609579599999999</v>
      </c>
      <c r="V12" s="7">
        <v>4.5479163309999997</v>
      </c>
      <c r="W12" s="7">
        <v>1.2677579880000001</v>
      </c>
      <c r="X12" s="7">
        <v>0.59066227500000001</v>
      </c>
      <c r="Y12" s="7">
        <v>0.18238986700000001</v>
      </c>
      <c r="Z12" s="7">
        <v>0.38647006499999997</v>
      </c>
      <c r="AA12" s="7">
        <v>1.8862002</v>
      </c>
      <c r="AB12" s="7">
        <v>374.00041620000002</v>
      </c>
      <c r="AC12" s="7">
        <v>61.73</v>
      </c>
      <c r="AD12" s="7">
        <f t="shared" si="1"/>
        <v>59.803048370827284</v>
      </c>
      <c r="AE12" s="7">
        <v>0.81937216000000002</v>
      </c>
      <c r="AF12" s="7">
        <v>5.615677292</v>
      </c>
      <c r="AG12" s="7">
        <v>5.4926734999999997E-2</v>
      </c>
      <c r="AH12" s="7">
        <v>2398.022011</v>
      </c>
      <c r="AI12" s="7">
        <v>253.03274669999999</v>
      </c>
      <c r="AJ12" s="7"/>
      <c r="AK12" s="7"/>
      <c r="AL12" s="7">
        <v>78.764466429999999</v>
      </c>
      <c r="AM12" s="7">
        <v>19.711146240000001</v>
      </c>
      <c r="AO12">
        <f t="shared" si="2"/>
        <v>75.623958070988934</v>
      </c>
    </row>
    <row r="13" spans="1:42" x14ac:dyDescent="0.35">
      <c r="A13" t="s">
        <v>329</v>
      </c>
      <c r="B13" t="s">
        <v>107</v>
      </c>
      <c r="C13" t="s">
        <v>117</v>
      </c>
      <c r="E13" s="3">
        <v>53.003138638111238</v>
      </c>
      <c r="F13" s="7">
        <v>0.33319072615368522</v>
      </c>
      <c r="G13" s="7">
        <v>4.0012292113099512</v>
      </c>
      <c r="H13" s="3">
        <v>11.892239168315303</v>
      </c>
      <c r="I13" s="3">
        <v>0.28016639218191636</v>
      </c>
      <c r="J13" s="3">
        <v>18.099332387807827</v>
      </c>
      <c r="K13" s="3">
        <v>12.308435757497501</v>
      </c>
      <c r="L13" s="7">
        <v>0.15574180506227664</v>
      </c>
      <c r="M13" s="7">
        <v>1.9311957871198941E-2</v>
      </c>
      <c r="N13" s="7">
        <v>1.8354770397154319E-2</v>
      </c>
      <c r="O13" s="3">
        <v>0.19774960989567819</v>
      </c>
      <c r="P13" s="3">
        <f t="shared" si="0"/>
        <v>100.30889042460373</v>
      </c>
      <c r="Q13" s="7">
        <v>2.1452782722750521</v>
      </c>
      <c r="R13" s="7">
        <v>72.764083633300373</v>
      </c>
      <c r="S13" s="7">
        <v>1352.5965109143533</v>
      </c>
      <c r="T13" s="7">
        <v>1.6683278381956188</v>
      </c>
      <c r="U13" s="7">
        <v>0.3066657804643671</v>
      </c>
      <c r="V13" s="7">
        <v>5.38304841392761</v>
      </c>
      <c r="W13" s="7">
        <v>1.5548895979152424</v>
      </c>
      <c r="X13" s="7">
        <v>0.68696197165751538</v>
      </c>
      <c r="Y13" s="7">
        <v>0.24145603324936243</v>
      </c>
      <c r="Z13" s="7">
        <v>0.2979663352919073</v>
      </c>
      <c r="AA13" s="7">
        <v>2.2100694315431593</v>
      </c>
      <c r="AB13" s="7">
        <v>364.77687435251835</v>
      </c>
      <c r="AC13" s="7">
        <v>70.719633467745865</v>
      </c>
      <c r="AD13" s="7">
        <f t="shared" si="1"/>
        <v>68.796442660847774</v>
      </c>
      <c r="AE13" s="7">
        <v>0.96577120018371521</v>
      </c>
      <c r="AF13" s="7">
        <v>7.9783104387272532</v>
      </c>
      <c r="AG13" s="7">
        <v>2.1545574354766568E-2</v>
      </c>
      <c r="AH13" s="7">
        <v>2007.7116784889961</v>
      </c>
      <c r="AI13" s="7">
        <v>274.5326883457837</v>
      </c>
      <c r="AJ13" s="7"/>
      <c r="AK13" s="7"/>
      <c r="AL13" s="7">
        <v>86.005998802805252</v>
      </c>
      <c r="AM13" s="7">
        <v>19.957739232398431</v>
      </c>
      <c r="AO13">
        <f t="shared" si="2"/>
        <v>73.214857185561627</v>
      </c>
    </row>
    <row r="14" spans="1:42" x14ac:dyDescent="0.35">
      <c r="A14" t="s">
        <v>330</v>
      </c>
      <c r="B14" t="s">
        <v>107</v>
      </c>
      <c r="C14" t="s">
        <v>117</v>
      </c>
      <c r="E14" s="3">
        <v>52.934706906740189</v>
      </c>
      <c r="F14" s="7">
        <v>0.36370215938554601</v>
      </c>
      <c r="G14" s="7">
        <v>3.7838868650064033</v>
      </c>
      <c r="H14" s="3">
        <v>8.6649274723717813</v>
      </c>
      <c r="I14" s="3">
        <v>0.22854308479035404</v>
      </c>
      <c r="J14" s="3">
        <v>16.519731150434545</v>
      </c>
      <c r="K14" s="3">
        <v>17.208203578915143</v>
      </c>
      <c r="L14" s="7">
        <v>0.15029310952262159</v>
      </c>
      <c r="M14" s="7">
        <v>7.3495144130966668E-3</v>
      </c>
      <c r="N14" s="7">
        <v>8.8462749172969687E-3</v>
      </c>
      <c r="O14" s="3">
        <v>0.37179909398060035</v>
      </c>
      <c r="P14" s="3">
        <f t="shared" si="0"/>
        <v>100.2419892104776</v>
      </c>
      <c r="Q14" s="7">
        <v>1.59642007788045</v>
      </c>
      <c r="R14" s="7">
        <v>56.851708692686373</v>
      </c>
      <c r="S14" s="7">
        <v>2543.0854581436388</v>
      </c>
      <c r="T14" s="7">
        <v>1.5851793144016439</v>
      </c>
      <c r="U14" s="7">
        <v>0.31640582729560501</v>
      </c>
      <c r="V14" s="7">
        <v>5.1271990189521421</v>
      </c>
      <c r="W14" s="7">
        <v>1.5823554441661252</v>
      </c>
      <c r="X14" s="7">
        <v>0.56880055509264216</v>
      </c>
      <c r="Y14" s="7">
        <v>0.20569438536237775</v>
      </c>
      <c r="Z14" s="7">
        <v>0.17996469376605254</v>
      </c>
      <c r="AA14" s="7">
        <v>1.982581962475505</v>
      </c>
      <c r="AB14" s="7">
        <v>274.12794114362964</v>
      </c>
      <c r="AC14" s="7">
        <v>104.15936245801417</v>
      </c>
      <c r="AD14" s="7">
        <f t="shared" si="1"/>
        <v>102.23865466023695</v>
      </c>
      <c r="AE14" s="7">
        <v>0.94866644945631851</v>
      </c>
      <c r="AF14" s="7">
        <v>5.9352884337087604</v>
      </c>
      <c r="AG14" s="7">
        <v>1.4399752218070605E-2</v>
      </c>
      <c r="AH14" s="7">
        <v>2179.1621293322123</v>
      </c>
      <c r="AI14" s="7">
        <v>377.90401595184255</v>
      </c>
      <c r="AJ14" s="7"/>
      <c r="AK14" s="7"/>
      <c r="AL14" s="7">
        <v>54.515942746638693</v>
      </c>
      <c r="AM14" s="7">
        <v>13.924154873580285</v>
      </c>
      <c r="AO14">
        <f t="shared" si="2"/>
        <v>77.396449481835617</v>
      </c>
    </row>
    <row r="15" spans="1:42" x14ac:dyDescent="0.35">
      <c r="A15" t="s">
        <v>326</v>
      </c>
      <c r="B15" t="s">
        <v>107</v>
      </c>
      <c r="C15" t="s">
        <v>117</v>
      </c>
      <c r="E15" s="3">
        <v>50.326260137101485</v>
      </c>
      <c r="F15" s="7">
        <v>4.9940480913629931E-2</v>
      </c>
      <c r="G15" s="7">
        <v>30.942648218502782</v>
      </c>
      <c r="H15" s="3">
        <v>1.4324026295224972</v>
      </c>
      <c r="I15" s="3">
        <v>1.3733270470701192E-2</v>
      </c>
      <c r="J15" s="3">
        <v>0.67520110722596505</v>
      </c>
      <c r="K15" s="3">
        <v>13.425947521979284</v>
      </c>
      <c r="L15" s="7">
        <v>3.1491773276274828</v>
      </c>
      <c r="M15" s="7">
        <v>0.2749240895186294</v>
      </c>
      <c r="N15" s="7">
        <v>1.7258100357829764E-2</v>
      </c>
      <c r="O15" s="3">
        <v>7.0390056381738767E-3</v>
      </c>
      <c r="P15" s="3">
        <f>SUM(E15:O15)</f>
        <v>100.31453188885847</v>
      </c>
      <c r="Q15" s="7">
        <v>0.86562597879995096</v>
      </c>
      <c r="R15" s="7">
        <v>5.3035884225391836</v>
      </c>
      <c r="S15" s="7">
        <v>48.146413393802383</v>
      </c>
      <c r="T15" s="7">
        <v>3.1088763479569667E-2</v>
      </c>
      <c r="U15" s="7">
        <v>0.73846557671697977</v>
      </c>
      <c r="V15" s="7">
        <v>28.210496367960037</v>
      </c>
      <c r="W15" s="7">
        <v>6.4435478326403825E-2</v>
      </c>
      <c r="X15" s="7">
        <v>3.3769963262778667E-2</v>
      </c>
      <c r="Y15" s="7">
        <v>1.9773954001028965E-2</v>
      </c>
      <c r="Z15" s="7">
        <v>4.1736867525391221E-2</v>
      </c>
      <c r="AA15" s="7">
        <v>0.37235021377389071</v>
      </c>
      <c r="AB15" s="7">
        <v>19.488716505687183</v>
      </c>
      <c r="AC15" s="7" t="s">
        <v>405</v>
      </c>
      <c r="AD15" s="7" t="s">
        <v>406</v>
      </c>
      <c r="AE15" s="7">
        <v>0.19206744277784868</v>
      </c>
      <c r="AF15" s="7"/>
      <c r="AG15" s="7">
        <v>0</v>
      </c>
      <c r="AH15" s="7">
        <v>299.22397192108963</v>
      </c>
      <c r="AI15" s="7">
        <v>7.0618639588564385</v>
      </c>
      <c r="AJ15" s="7"/>
      <c r="AK15" s="7"/>
      <c r="AL15" s="7">
        <v>10.363221486058073</v>
      </c>
      <c r="AM15" s="7">
        <v>0.59697075773692176</v>
      </c>
      <c r="AN15" s="21"/>
      <c r="AO15" s="21"/>
      <c r="AP15" s="21"/>
    </row>
    <row r="16" spans="1:42" x14ac:dyDescent="0.35">
      <c r="E16" s="3"/>
      <c r="F16" s="7"/>
      <c r="G16" s="7"/>
      <c r="H16" s="3"/>
      <c r="I16" s="3"/>
      <c r="J16" s="3"/>
      <c r="K16" s="3"/>
      <c r="L16" s="7"/>
      <c r="M16" s="7"/>
      <c r="N16" s="7"/>
      <c r="O16" s="3"/>
      <c r="P16" s="3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21"/>
      <c r="AO16" s="21"/>
      <c r="AP16" s="21"/>
    </row>
    <row r="17" spans="1:42" x14ac:dyDescent="0.35">
      <c r="E17" s="3"/>
      <c r="F17" s="7"/>
      <c r="G17" s="7"/>
      <c r="H17" s="3"/>
      <c r="I17" s="3"/>
      <c r="J17" s="3"/>
      <c r="K17" s="3"/>
      <c r="L17" s="7"/>
      <c r="M17" s="7"/>
      <c r="N17" s="7"/>
      <c r="O17" s="3"/>
      <c r="P17" s="3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21"/>
      <c r="AO17" s="21"/>
      <c r="AP17" s="21"/>
    </row>
    <row r="18" spans="1:42" x14ac:dyDescent="0.35">
      <c r="A18" t="s">
        <v>332</v>
      </c>
      <c r="C18" t="s">
        <v>419</v>
      </c>
    </row>
    <row r="19" spans="1:42" x14ac:dyDescent="0.35">
      <c r="A19" t="s">
        <v>332</v>
      </c>
      <c r="B19" t="s">
        <v>363</v>
      </c>
      <c r="C19" t="s">
        <v>420</v>
      </c>
      <c r="E19">
        <f>37.0865754088017*2.12/10000</f>
        <v>7.8623539866659615E-3</v>
      </c>
      <c r="F19">
        <f>0.0995702324637501/10000*1.66</f>
        <v>1.6528658588982518E-5</v>
      </c>
      <c r="G19">
        <f>0.10441672683406/0.52/10000</f>
        <v>2.0080139775780771E-5</v>
      </c>
      <c r="H19">
        <f>0.843301717081952/10000*1.29</f>
        <v>1.0878592150357181E-4</v>
      </c>
      <c r="I19">
        <f>0.158/10000*1.29</f>
        <v>2.0382000000000002E-5</v>
      </c>
      <c r="J19">
        <v>6.4999999999999996E-6</v>
      </c>
      <c r="K19">
        <f>0.039/10000*50/40</f>
        <v>4.8749999999999999E-6</v>
      </c>
      <c r="L19">
        <f>0.2/10000*(23*2+16)/46</f>
        <v>2.6956521739130436E-5</v>
      </c>
      <c r="M19">
        <f>2.55/10000*(78+16)/78</f>
        <v>3.0730769230769228E-4</v>
      </c>
      <c r="N19">
        <f>2.43/10000*(31*2+16*5)/62</f>
        <v>5.5654838709677426E-4</v>
      </c>
      <c r="Q19">
        <v>0</v>
      </c>
      <c r="R19">
        <v>4.0820160892492659E-3</v>
      </c>
      <c r="S19">
        <v>7.486878882176716E-2</v>
      </c>
      <c r="T19">
        <v>0</v>
      </c>
      <c r="U19">
        <v>0</v>
      </c>
      <c r="V19">
        <v>8.9662261817092612E-3</v>
      </c>
      <c r="W19">
        <v>0</v>
      </c>
      <c r="X19">
        <v>0</v>
      </c>
      <c r="Y19">
        <v>0</v>
      </c>
      <c r="Z19">
        <v>1.1751993990284658E-4</v>
      </c>
      <c r="AA19">
        <v>0</v>
      </c>
      <c r="AB19">
        <v>3.4133512391758172E-2</v>
      </c>
      <c r="AC19">
        <v>1.24376200851868E-2</v>
      </c>
      <c r="AE19">
        <v>0</v>
      </c>
      <c r="AF19">
        <v>2.0711611403037398E-4</v>
      </c>
      <c r="AG19">
        <v>0</v>
      </c>
      <c r="AH19">
        <v>9.9570232463750061E-2</v>
      </c>
      <c r="AI19">
        <v>8.7554652502817316E-3</v>
      </c>
      <c r="AL19">
        <v>4.9191932624493354E-2</v>
      </c>
      <c r="AM19">
        <v>0</v>
      </c>
    </row>
    <row r="20" spans="1:42" x14ac:dyDescent="0.35">
      <c r="A20" t="s">
        <v>332</v>
      </c>
      <c r="B20" t="s">
        <v>364</v>
      </c>
      <c r="C20" t="s">
        <v>364</v>
      </c>
      <c r="E20">
        <f>0.27*2.12/10000</f>
        <v>5.7240000000000001E-5</v>
      </c>
      <c r="F20">
        <f>0.085/10000*1.66</f>
        <v>1.4109999999999999E-5</v>
      </c>
      <c r="G20">
        <f>0.006/0.52/10000</f>
        <v>1.1538461538461538E-6</v>
      </c>
      <c r="H20">
        <f>0.2/10000*1.29</f>
        <v>2.5800000000000004E-5</v>
      </c>
      <c r="I20">
        <f>0.04/10000*1.29</f>
        <v>5.1599999999999997E-6</v>
      </c>
      <c r="J20">
        <f>0.007*40/24/10000</f>
        <v>1.1666666666666668E-6</v>
      </c>
      <c r="K20">
        <f>0.2/10000*50/40</f>
        <v>2.5000000000000001E-5</v>
      </c>
      <c r="L20">
        <f>0.2/10000*(23*2+16)/46</f>
        <v>2.6956521739130436E-5</v>
      </c>
      <c r="M20">
        <f>2.55/10000*(78+16)/78</f>
        <v>3.0730769230769228E-4</v>
      </c>
      <c r="N20">
        <f>0.42/10000*(31*2+16*5)/62</f>
        <v>9.6193548387096765E-5</v>
      </c>
      <c r="R20" s="7">
        <v>4.5506491103804968E-3</v>
      </c>
      <c r="S20" s="7">
        <v>5.0000000000000001E-3</v>
      </c>
      <c r="V20" s="7">
        <v>7.7562611713084158E-3</v>
      </c>
      <c r="W20" s="7"/>
      <c r="X20" s="7">
        <v>1.4139728678166269E-2</v>
      </c>
      <c r="Y20" s="7"/>
      <c r="Z20" s="7">
        <v>3.9600167841263587E-3</v>
      </c>
      <c r="AA20" s="7"/>
      <c r="AB20" s="7">
        <v>2.0746612052759277E-2</v>
      </c>
      <c r="AC20" s="7">
        <v>4.8491139057810989E-3</v>
      </c>
      <c r="AE20" s="7"/>
      <c r="AF20" s="7"/>
      <c r="AG20" s="7">
        <v>3.937420799352667E-3</v>
      </c>
      <c r="AH20" s="7">
        <v>8.5214856583891316E-2</v>
      </c>
      <c r="AI20" s="7">
        <v>4.6744557879176227E-3</v>
      </c>
      <c r="AJ20" s="7">
        <v>1.7648293736255618E-2</v>
      </c>
      <c r="AK20" s="7">
        <v>3.6903078484182214E-3</v>
      </c>
      <c r="AL20" s="7">
        <v>3.6547749477504159E-2</v>
      </c>
      <c r="AM20" s="7">
        <v>7.1655821831796019E-3</v>
      </c>
    </row>
    <row r="21" spans="1:42" x14ac:dyDescent="0.35">
      <c r="A21" t="s">
        <v>332</v>
      </c>
      <c r="B21" t="s">
        <v>365</v>
      </c>
      <c r="C21" t="s">
        <v>421</v>
      </c>
      <c r="G21" s="21"/>
      <c r="H21">
        <f>100/10000*1.29</f>
        <v>1.29E-2</v>
      </c>
      <c r="L21" s="21"/>
      <c r="N21" s="21"/>
      <c r="O21" s="21"/>
      <c r="AC21" s="7">
        <v>0.2</v>
      </c>
      <c r="AM21">
        <v>0.04</v>
      </c>
    </row>
    <row r="22" spans="1:42" x14ac:dyDescent="0.35">
      <c r="R22" s="7"/>
      <c r="S22" s="7"/>
      <c r="V22" s="7"/>
      <c r="W22" s="7"/>
      <c r="X22" s="7"/>
      <c r="Y22" s="7"/>
      <c r="Z22" s="7"/>
      <c r="AA22" s="7"/>
      <c r="AB22" s="7"/>
      <c r="AC22" s="7"/>
      <c r="AE22" s="7"/>
      <c r="AF22" s="7"/>
      <c r="AG22" s="7"/>
      <c r="AH22" s="7"/>
      <c r="AI22" s="7"/>
      <c r="AJ22" s="7"/>
      <c r="AK22" s="7"/>
      <c r="AL22" s="7"/>
      <c r="AM22" s="7"/>
    </row>
    <row r="23" spans="1:42" x14ac:dyDescent="0.35">
      <c r="A23" t="s">
        <v>422</v>
      </c>
      <c r="E23">
        <f>MAX(E19:E21)</f>
        <v>7.8623539866659615E-3</v>
      </c>
      <c r="F23">
        <f t="shared" ref="F23:AM23" si="3">MAX(F19:F21)</f>
        <v>1.6528658588982518E-5</v>
      </c>
      <c r="G23">
        <f t="shared" si="3"/>
        <v>2.0080139775780771E-5</v>
      </c>
      <c r="H23">
        <f t="shared" si="3"/>
        <v>1.29E-2</v>
      </c>
      <c r="I23">
        <f t="shared" si="3"/>
        <v>2.0382000000000002E-5</v>
      </c>
      <c r="J23">
        <f t="shared" si="3"/>
        <v>6.4999999999999996E-6</v>
      </c>
      <c r="K23">
        <f t="shared" si="3"/>
        <v>2.5000000000000001E-5</v>
      </c>
      <c r="L23">
        <f t="shared" si="3"/>
        <v>2.6956521739130436E-5</v>
      </c>
      <c r="M23">
        <f t="shared" si="3"/>
        <v>3.0730769230769228E-4</v>
      </c>
      <c r="N23">
        <f t="shared" si="3"/>
        <v>5.5654838709677426E-4</v>
      </c>
      <c r="O23">
        <f t="shared" si="3"/>
        <v>0</v>
      </c>
      <c r="P23">
        <f t="shared" si="3"/>
        <v>0</v>
      </c>
      <c r="Q23">
        <f t="shared" si="3"/>
        <v>0</v>
      </c>
      <c r="R23">
        <f t="shared" si="3"/>
        <v>4.5506491103804968E-3</v>
      </c>
      <c r="S23">
        <f t="shared" si="3"/>
        <v>7.486878882176716E-2</v>
      </c>
      <c r="T23">
        <f t="shared" si="3"/>
        <v>0</v>
      </c>
      <c r="U23">
        <f t="shared" si="3"/>
        <v>0</v>
      </c>
      <c r="V23">
        <f t="shared" si="3"/>
        <v>8.9662261817092612E-3</v>
      </c>
      <c r="W23">
        <f t="shared" si="3"/>
        <v>0</v>
      </c>
      <c r="X23">
        <f t="shared" si="3"/>
        <v>1.4139728678166269E-2</v>
      </c>
      <c r="Y23">
        <f t="shared" si="3"/>
        <v>0</v>
      </c>
      <c r="Z23">
        <f t="shared" si="3"/>
        <v>3.9600167841263587E-3</v>
      </c>
      <c r="AA23">
        <f t="shared" si="3"/>
        <v>0</v>
      </c>
      <c r="AB23">
        <f t="shared" si="3"/>
        <v>3.4133512391758172E-2</v>
      </c>
      <c r="AC23">
        <f t="shared" si="3"/>
        <v>0.2</v>
      </c>
      <c r="AE23">
        <f t="shared" si="3"/>
        <v>0</v>
      </c>
      <c r="AF23">
        <f t="shared" si="3"/>
        <v>2.0711611403037398E-4</v>
      </c>
      <c r="AG23">
        <f t="shared" si="3"/>
        <v>3.937420799352667E-3</v>
      </c>
      <c r="AH23">
        <f t="shared" si="3"/>
        <v>9.9570232463750061E-2</v>
      </c>
      <c r="AI23">
        <f t="shared" si="3"/>
        <v>8.7554652502817316E-3</v>
      </c>
      <c r="AJ23">
        <f t="shared" si="3"/>
        <v>1.7648293736255618E-2</v>
      </c>
      <c r="AK23">
        <f t="shared" si="3"/>
        <v>3.6903078484182214E-3</v>
      </c>
      <c r="AL23">
        <f t="shared" si="3"/>
        <v>4.9191932624493354E-2</v>
      </c>
      <c r="AM23">
        <f t="shared" si="3"/>
        <v>0.04</v>
      </c>
    </row>
    <row r="24" spans="1:42" x14ac:dyDescent="0.35">
      <c r="Q24" s="21"/>
    </row>
    <row r="25" spans="1:42" x14ac:dyDescent="0.35">
      <c r="Q25" s="21"/>
    </row>
    <row r="26" spans="1:42" x14ac:dyDescent="0.35">
      <c r="Q26" s="21"/>
    </row>
    <row r="27" spans="1:42" x14ac:dyDescent="0.35">
      <c r="Q27" s="21"/>
    </row>
    <row r="28" spans="1:42" x14ac:dyDescent="0.35">
      <c r="Q28" s="21"/>
    </row>
    <row r="29" spans="1:42" x14ac:dyDescent="0.35">
      <c r="Q29" s="21"/>
    </row>
    <row r="30" spans="1:42" x14ac:dyDescent="0.35">
      <c r="Q30" s="21"/>
    </row>
    <row r="31" spans="1:42" x14ac:dyDescent="0.35">
      <c r="Q31" s="21"/>
    </row>
    <row r="32" spans="1:42" x14ac:dyDescent="0.35">
      <c r="Q32" s="21"/>
    </row>
    <row r="33" spans="17:17" x14ac:dyDescent="0.35">
      <c r="Q33" s="21"/>
    </row>
    <row r="34" spans="17:17" x14ac:dyDescent="0.35">
      <c r="Q34" s="21"/>
    </row>
    <row r="35" spans="17:17" x14ac:dyDescent="0.35">
      <c r="Q35" s="21"/>
    </row>
    <row r="36" spans="17:17" x14ac:dyDescent="0.35">
      <c r="Q36" s="21"/>
    </row>
    <row r="37" spans="17:17" x14ac:dyDescent="0.35">
      <c r="Q37" s="21"/>
    </row>
    <row r="38" spans="17:17" x14ac:dyDescent="0.35">
      <c r="Q38" s="21"/>
    </row>
    <row r="39" spans="17:17" x14ac:dyDescent="0.35">
      <c r="Q39" s="21"/>
    </row>
    <row r="40" spans="17:17" x14ac:dyDescent="0.35">
      <c r="Q40" s="21"/>
    </row>
    <row r="41" spans="17:17" x14ac:dyDescent="0.35">
      <c r="Q41" s="21"/>
    </row>
    <row r="42" spans="17:17" x14ac:dyDescent="0.35">
      <c r="Q42" s="21"/>
    </row>
    <row r="43" spans="17:17" x14ac:dyDescent="0.35">
      <c r="Q43" s="21"/>
    </row>
    <row r="44" spans="17:17" x14ac:dyDescent="0.35">
      <c r="Q44" s="21"/>
    </row>
  </sheetData>
  <sortState ref="A5:AO9">
    <sortCondition descending="1" ref="AO5:AO9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80CB6-244A-47B0-9251-95DD6C69BF69}">
  <dimension ref="A1:J103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D7" sqref="D7"/>
    </sheetView>
  </sheetViews>
  <sheetFormatPr defaultRowHeight="14.5" x14ac:dyDescent="0.35"/>
  <cols>
    <col min="1" max="1" width="9.81640625" bestFit="1" customWidth="1"/>
  </cols>
  <sheetData>
    <row r="1" spans="1:10" ht="15.5" x14ac:dyDescent="0.35">
      <c r="A1" s="2" t="s">
        <v>451</v>
      </c>
      <c r="B1" s="2"/>
      <c r="D1" s="44" t="s">
        <v>445</v>
      </c>
      <c r="E1" s="2"/>
      <c r="F1" s="2"/>
    </row>
    <row r="2" spans="1:10" x14ac:dyDescent="0.35">
      <c r="A2" t="s">
        <v>423</v>
      </c>
      <c r="B2" t="s">
        <v>144</v>
      </c>
    </row>
    <row r="3" spans="1:10" x14ac:dyDescent="0.35">
      <c r="B3" t="s">
        <v>145</v>
      </c>
    </row>
    <row r="4" spans="1:10" x14ac:dyDescent="0.35">
      <c r="B4" s="5" t="s">
        <v>206</v>
      </c>
      <c r="C4" t="s">
        <v>200</v>
      </c>
      <c r="D4" t="s">
        <v>201</v>
      </c>
      <c r="E4" t="s">
        <v>202</v>
      </c>
      <c r="F4" t="s">
        <v>203</v>
      </c>
      <c r="G4" t="s">
        <v>441</v>
      </c>
      <c r="H4" t="s">
        <v>204</v>
      </c>
      <c r="I4" t="s">
        <v>205</v>
      </c>
      <c r="J4" t="s">
        <v>27</v>
      </c>
    </row>
    <row r="5" spans="1:10" x14ac:dyDescent="0.35">
      <c r="B5" s="5"/>
      <c r="C5" t="s">
        <v>132</v>
      </c>
      <c r="D5" t="s">
        <v>132</v>
      </c>
      <c r="E5" t="s">
        <v>132</v>
      </c>
      <c r="F5" t="s">
        <v>132</v>
      </c>
      <c r="G5" t="s">
        <v>132</v>
      </c>
      <c r="H5" t="s">
        <v>132</v>
      </c>
      <c r="I5" t="s">
        <v>132</v>
      </c>
      <c r="J5" t="s">
        <v>132</v>
      </c>
    </row>
    <row r="7" spans="1:10" x14ac:dyDescent="0.35">
      <c r="A7" t="s">
        <v>382</v>
      </c>
      <c r="B7">
        <v>5</v>
      </c>
      <c r="C7" s="3">
        <v>0.1018</v>
      </c>
      <c r="D7" s="3">
        <v>0.30720000000000003</v>
      </c>
      <c r="E7" s="3">
        <v>13.967400000000001</v>
      </c>
      <c r="F7" s="3">
        <v>52.066400000000002</v>
      </c>
      <c r="G7" s="3">
        <v>24.857800000000001</v>
      </c>
      <c r="H7" s="3">
        <v>8.6612000000000009</v>
      </c>
      <c r="I7" s="3">
        <v>0</v>
      </c>
      <c r="J7" s="3">
        <f t="shared" ref="J7:J25" si="0">SUM(C7:I7)</f>
        <v>99.961800000000011</v>
      </c>
    </row>
    <row r="8" spans="1:10" x14ac:dyDescent="0.35">
      <c r="A8" t="s">
        <v>383</v>
      </c>
      <c r="B8">
        <v>5</v>
      </c>
      <c r="C8" s="3">
        <v>0.13450000000000001</v>
      </c>
      <c r="D8" s="3">
        <v>0.2436666666666667</v>
      </c>
      <c r="E8" s="3">
        <v>12.820500000000001</v>
      </c>
      <c r="F8" s="3">
        <v>54.035333333333334</v>
      </c>
      <c r="G8" s="3">
        <v>22.770500000000002</v>
      </c>
      <c r="H8" s="3">
        <v>9.8989999999999991</v>
      </c>
      <c r="I8" s="3">
        <v>0.17733333333333334</v>
      </c>
      <c r="J8" s="3">
        <f t="shared" si="0"/>
        <v>100.08083333333335</v>
      </c>
    </row>
    <row r="9" spans="1:10" x14ac:dyDescent="0.35">
      <c r="A9" t="s">
        <v>384</v>
      </c>
      <c r="B9">
        <v>3</v>
      </c>
      <c r="C9" s="3">
        <v>9.3333333333333338E-2</v>
      </c>
      <c r="D9" s="3">
        <v>0.24966666666666662</v>
      </c>
      <c r="E9" s="3">
        <v>12.814666666666666</v>
      </c>
      <c r="F9" s="3">
        <v>55.447000000000003</v>
      </c>
      <c r="G9" s="3">
        <v>17.706666666666667</v>
      </c>
      <c r="H9" s="3">
        <v>12.759666666666668</v>
      </c>
      <c r="I9" s="3">
        <v>0.10333333333333335</v>
      </c>
      <c r="J9" s="3">
        <f t="shared" si="0"/>
        <v>99.174333333333337</v>
      </c>
    </row>
    <row r="10" spans="1:10" x14ac:dyDescent="0.35">
      <c r="A10" t="s">
        <v>385</v>
      </c>
      <c r="B10">
        <v>5</v>
      </c>
      <c r="C10" s="3">
        <v>0.11699999999999999</v>
      </c>
      <c r="D10" s="3">
        <v>0.25559999999999999</v>
      </c>
      <c r="E10" s="3">
        <v>13.940400000000002</v>
      </c>
      <c r="F10" s="3">
        <v>55.903399999999998</v>
      </c>
      <c r="G10" s="3">
        <v>16.485399999999998</v>
      </c>
      <c r="H10" s="3">
        <v>13.699000000000002</v>
      </c>
      <c r="I10" s="3">
        <v>0</v>
      </c>
      <c r="J10" s="3">
        <f t="shared" si="0"/>
        <v>100.40079999999999</v>
      </c>
    </row>
    <row r="11" spans="1:10" x14ac:dyDescent="0.35">
      <c r="A11" t="s">
        <v>386</v>
      </c>
      <c r="B11">
        <v>4</v>
      </c>
      <c r="C11" s="3">
        <v>0.34375</v>
      </c>
      <c r="D11" s="3">
        <v>0.27549999999999997</v>
      </c>
      <c r="E11" s="3">
        <v>14.382250000000001</v>
      </c>
      <c r="F11" s="3">
        <v>53.676999999999992</v>
      </c>
      <c r="G11" s="3">
        <v>17.37425</v>
      </c>
      <c r="H11" s="3">
        <v>13.81925</v>
      </c>
      <c r="I11" s="3">
        <v>0.13800000000000001</v>
      </c>
      <c r="J11" s="3">
        <f t="shared" si="0"/>
        <v>100.00999999999999</v>
      </c>
    </row>
    <row r="12" spans="1:10" x14ac:dyDescent="0.35">
      <c r="A12" t="s">
        <v>387</v>
      </c>
      <c r="B12">
        <v>8</v>
      </c>
      <c r="C12" s="3">
        <v>0.19175</v>
      </c>
      <c r="D12" s="3">
        <v>0.22600000000000001</v>
      </c>
      <c r="E12" s="3">
        <v>13.477499999999999</v>
      </c>
      <c r="F12" s="3">
        <v>54.564875000000001</v>
      </c>
      <c r="G12" s="3">
        <v>18.743500000000001</v>
      </c>
      <c r="H12" s="3">
        <v>12.349874999999999</v>
      </c>
      <c r="I12" s="3">
        <v>0</v>
      </c>
      <c r="J12" s="3">
        <f t="shared" si="0"/>
        <v>99.5535</v>
      </c>
    </row>
    <row r="13" spans="1:10" x14ac:dyDescent="0.35">
      <c r="A13" t="s">
        <v>96</v>
      </c>
      <c r="B13">
        <v>5</v>
      </c>
      <c r="C13" s="3">
        <v>9.0545454545454526E-2</v>
      </c>
      <c r="D13" s="3">
        <v>0.36245454545454542</v>
      </c>
      <c r="E13" s="3">
        <v>15.623909090909093</v>
      </c>
      <c r="F13" s="3">
        <v>51.317363636363638</v>
      </c>
      <c r="G13" s="3">
        <v>19.140636363636368</v>
      </c>
      <c r="H13" s="3">
        <v>13.270454545454545</v>
      </c>
      <c r="I13" s="3">
        <v>5.9999999999999991E-2</v>
      </c>
      <c r="J13" s="3">
        <f t="shared" si="0"/>
        <v>99.865363636363654</v>
      </c>
    </row>
    <row r="14" spans="1:10" x14ac:dyDescent="0.35">
      <c r="A14" t="s">
        <v>388</v>
      </c>
      <c r="B14">
        <v>5</v>
      </c>
      <c r="C14" s="3">
        <v>9.325E-2</v>
      </c>
      <c r="D14" s="3">
        <v>0.29375000000000001</v>
      </c>
      <c r="E14" s="3">
        <v>14.143749999999999</v>
      </c>
      <c r="F14" s="3">
        <v>52.624749999999999</v>
      </c>
      <c r="G14" s="3">
        <v>20.703250000000001</v>
      </c>
      <c r="H14" s="3">
        <v>11.265749999999999</v>
      </c>
      <c r="I14" s="3">
        <v>0.15</v>
      </c>
      <c r="J14" s="3">
        <f t="shared" si="0"/>
        <v>99.274500000000003</v>
      </c>
    </row>
    <row r="15" spans="1:10" x14ac:dyDescent="0.35">
      <c r="A15" t="s">
        <v>389</v>
      </c>
      <c r="B15">
        <v>4</v>
      </c>
      <c r="C15" s="3">
        <v>0.16139999999999999</v>
      </c>
      <c r="D15" s="3">
        <v>0.26140000000000002</v>
      </c>
      <c r="E15" s="3">
        <v>13.436199999999999</v>
      </c>
      <c r="F15" s="3">
        <v>55.191200000000002</v>
      </c>
      <c r="G15" s="3">
        <v>16.29</v>
      </c>
      <c r="H15" s="3">
        <v>14.3088</v>
      </c>
      <c r="I15" s="3">
        <v>9.5399999999999999E-2</v>
      </c>
      <c r="J15" s="3">
        <f t="shared" si="0"/>
        <v>99.744400000000013</v>
      </c>
    </row>
    <row r="16" spans="1:10" x14ac:dyDescent="0.35">
      <c r="A16" t="s">
        <v>390</v>
      </c>
      <c r="B16">
        <v>5</v>
      </c>
      <c r="C16" s="3">
        <v>0.10540000000000001</v>
      </c>
      <c r="D16" s="3">
        <v>0.26679999999999998</v>
      </c>
      <c r="E16" s="3">
        <v>13.3422</v>
      </c>
      <c r="F16" s="3">
        <v>52.248599999999996</v>
      </c>
      <c r="G16" s="3">
        <v>23.381599999999999</v>
      </c>
      <c r="H16" s="3">
        <v>9.5269999999999992</v>
      </c>
      <c r="I16" s="3">
        <v>0.155</v>
      </c>
      <c r="J16" s="3">
        <f t="shared" si="0"/>
        <v>99.026599999999988</v>
      </c>
    </row>
    <row r="17" spans="1:10" x14ac:dyDescent="0.35">
      <c r="A17" t="s">
        <v>391</v>
      </c>
      <c r="B17">
        <v>7</v>
      </c>
      <c r="C17" s="3">
        <v>9.3714285714285708E-2</v>
      </c>
      <c r="D17" s="3">
        <v>0.26114285714285718</v>
      </c>
      <c r="E17" s="3">
        <v>13.584999999999999</v>
      </c>
      <c r="F17" s="3">
        <v>53.037428571428578</v>
      </c>
      <c r="G17" s="3">
        <v>21.974</v>
      </c>
      <c r="H17" s="3">
        <v>10.058142857142858</v>
      </c>
      <c r="I17" s="3">
        <v>0.16828571428571429</v>
      </c>
      <c r="J17" s="3">
        <f t="shared" si="0"/>
        <v>99.177714285714288</v>
      </c>
    </row>
    <row r="18" spans="1:10" x14ac:dyDescent="0.35">
      <c r="A18" t="s">
        <v>378</v>
      </c>
      <c r="B18">
        <v>5</v>
      </c>
      <c r="C18" s="3">
        <v>8.5000000000000006E-2</v>
      </c>
      <c r="D18" s="3">
        <v>0.36016666666666669</v>
      </c>
      <c r="E18" s="3">
        <v>14.398333333333333</v>
      </c>
      <c r="F18" s="3">
        <v>50.677999999999997</v>
      </c>
      <c r="G18" s="3">
        <v>21.643333333333331</v>
      </c>
      <c r="H18" s="3">
        <v>11.115</v>
      </c>
      <c r="I18" s="3">
        <v>0.20133333333333334</v>
      </c>
      <c r="J18" s="3">
        <f t="shared" si="0"/>
        <v>98.481166666666667</v>
      </c>
    </row>
    <row r="19" spans="1:10" x14ac:dyDescent="0.35">
      <c r="A19" t="s">
        <v>222</v>
      </c>
      <c r="B19">
        <v>5</v>
      </c>
      <c r="C19" s="3">
        <v>0.1022</v>
      </c>
      <c r="D19" s="3">
        <v>0.36400000000000005</v>
      </c>
      <c r="E19" s="3">
        <v>15.524000000000001</v>
      </c>
      <c r="F19" s="3">
        <v>50.640999999999998</v>
      </c>
      <c r="G19" s="3">
        <v>20.539200000000001</v>
      </c>
      <c r="H19" s="3">
        <v>11.786600000000002</v>
      </c>
      <c r="I19" s="3">
        <v>0.1474</v>
      </c>
      <c r="J19" s="3">
        <f t="shared" si="0"/>
        <v>99.104400000000012</v>
      </c>
    </row>
    <row r="20" spans="1:10" x14ac:dyDescent="0.35">
      <c r="A20" t="s">
        <v>392</v>
      </c>
      <c r="B20">
        <v>4</v>
      </c>
      <c r="C20" s="3">
        <v>7.0499999999999993E-2</v>
      </c>
      <c r="D20" s="3">
        <v>0.48374999999999996</v>
      </c>
      <c r="E20" s="3">
        <v>14.508749999999999</v>
      </c>
      <c r="F20" s="3">
        <v>49.723750000000003</v>
      </c>
      <c r="G20" s="3">
        <v>23.217500000000001</v>
      </c>
      <c r="H20" s="3">
        <v>11.09525</v>
      </c>
      <c r="I20" s="3">
        <v>0.16775000000000001</v>
      </c>
      <c r="J20" s="3">
        <f t="shared" si="0"/>
        <v>99.267250000000004</v>
      </c>
    </row>
    <row r="21" spans="1:10" x14ac:dyDescent="0.35">
      <c r="A21" t="s">
        <v>223</v>
      </c>
      <c r="B21">
        <v>5</v>
      </c>
      <c r="C21" s="3">
        <f>'[1]norm to probe'!CH10/'[1]norm to probe'!$CN10*100</f>
        <v>0.31106803313653675</v>
      </c>
      <c r="D21" s="3">
        <f>'[1]norm to probe'!CI10/'[1]norm to probe'!$CN10*100</f>
        <v>0.39105382056644716</v>
      </c>
      <c r="E21" s="3">
        <f>'[1]norm to probe'!CG10/'[1]norm to probe'!$CN10*100</f>
        <v>14.623015104332717</v>
      </c>
      <c r="F21" s="3">
        <f>'[1]norm to probe'!CK10/'[1]norm to probe'!$CN10*100</f>
        <v>51.013464947477502</v>
      </c>
      <c r="G21" s="3">
        <f>'[1]norm to probe'!CM10/'[1]norm to probe'!$CN10*100</f>
        <v>21.709541931171582</v>
      </c>
      <c r="H21" s="3">
        <f>'[1]norm to probe'!CF10/'[1]norm to probe'!$CN10*100</f>
        <v>11.564566612733081</v>
      </c>
      <c r="I21" s="3">
        <f>'[1]norm to probe'!CL10/'[1]norm to probe'!$CN10*100</f>
        <v>0.22040298555635138</v>
      </c>
      <c r="J21" s="3">
        <f t="shared" si="0"/>
        <v>99.833113434974223</v>
      </c>
    </row>
    <row r="22" spans="1:10" x14ac:dyDescent="0.35">
      <c r="A22" t="s">
        <v>379</v>
      </c>
      <c r="B22">
        <v>5</v>
      </c>
      <c r="C22" s="3">
        <v>8.3750000000000005E-2</v>
      </c>
      <c r="D22" s="3">
        <v>0.40550000000000003</v>
      </c>
      <c r="E22" s="3">
        <v>14.927499999999998</v>
      </c>
      <c r="F22" s="3">
        <v>46.917249999999996</v>
      </c>
      <c r="G22" s="3">
        <v>27.606500000000004</v>
      </c>
      <c r="H22" s="3">
        <v>8.3769999999999989</v>
      </c>
      <c r="I22" s="3">
        <v>0.17449999999999999</v>
      </c>
      <c r="J22" s="3">
        <f t="shared" si="0"/>
        <v>98.49199999999999</v>
      </c>
    </row>
    <row r="23" spans="1:10" x14ac:dyDescent="0.35">
      <c r="A23" t="s">
        <v>225</v>
      </c>
      <c r="B23">
        <v>5</v>
      </c>
      <c r="C23" s="3">
        <v>0.10183333333333333</v>
      </c>
      <c r="D23" s="3">
        <v>0.26333333333333336</v>
      </c>
      <c r="E23" s="3">
        <v>12.874333333333333</v>
      </c>
      <c r="F23" s="3">
        <v>51.972999999999992</v>
      </c>
      <c r="G23" s="3">
        <v>24.210333333333335</v>
      </c>
      <c r="H23" s="3">
        <v>9.011000000000001</v>
      </c>
      <c r="I23" s="3">
        <v>0.14149999999999999</v>
      </c>
      <c r="J23" s="3">
        <f t="shared" si="0"/>
        <v>98.575333333333319</v>
      </c>
    </row>
    <row r="24" spans="1:10" x14ac:dyDescent="0.35">
      <c r="A24" t="s">
        <v>226</v>
      </c>
      <c r="B24">
        <v>5</v>
      </c>
      <c r="C24" s="3">
        <v>0.10549999999999998</v>
      </c>
      <c r="D24" s="3">
        <v>0.27750000000000002</v>
      </c>
      <c r="E24" s="3">
        <v>13.266333333333334</v>
      </c>
      <c r="F24" s="3">
        <v>50.892166666666661</v>
      </c>
      <c r="G24" s="3">
        <v>24.404833333333332</v>
      </c>
      <c r="H24" s="3">
        <v>9.1839999999999993</v>
      </c>
      <c r="I24" s="3">
        <v>0.11433333333333333</v>
      </c>
      <c r="J24" s="3">
        <f t="shared" si="0"/>
        <v>98.24466666666666</v>
      </c>
    </row>
    <row r="25" spans="1:10" x14ac:dyDescent="0.35">
      <c r="A25" t="s">
        <v>227</v>
      </c>
      <c r="B25">
        <v>5</v>
      </c>
      <c r="C25" s="3">
        <v>8.7874999999999995E-2</v>
      </c>
      <c r="D25" s="3">
        <v>0.34887499999999999</v>
      </c>
      <c r="E25" s="3">
        <v>14.139374999999999</v>
      </c>
      <c r="F25" s="3">
        <v>49.471250000000005</v>
      </c>
      <c r="G25" s="3">
        <v>26.686125000000001</v>
      </c>
      <c r="H25" s="3">
        <v>7.7722500000000005</v>
      </c>
      <c r="I25" s="3">
        <v>0.17074999999999999</v>
      </c>
      <c r="J25" s="3">
        <f t="shared" si="0"/>
        <v>98.676500000000004</v>
      </c>
    </row>
    <row r="26" spans="1:10" x14ac:dyDescent="0.35">
      <c r="A26">
        <v>5004</v>
      </c>
      <c r="B26">
        <v>5</v>
      </c>
      <c r="C26" s="3">
        <v>8.1800000000000012E-2</v>
      </c>
      <c r="D26" s="3">
        <v>0.39700000000000008</v>
      </c>
      <c r="E26" s="3">
        <v>14.902000000000001</v>
      </c>
      <c r="F26" s="3">
        <v>47.933199999999999</v>
      </c>
      <c r="G26" s="3">
        <v>26.639400000000002</v>
      </c>
      <c r="H26" s="3">
        <v>8.4426000000000005</v>
      </c>
      <c r="I26" s="3">
        <v>0.16320000000000001</v>
      </c>
      <c r="J26" s="3">
        <f>SUM(C26:I26)</f>
        <v>98.559200000000004</v>
      </c>
    </row>
    <row r="27" spans="1:10" x14ac:dyDescent="0.35">
      <c r="A27">
        <v>5008</v>
      </c>
      <c r="B27">
        <v>5</v>
      </c>
      <c r="C27" s="3">
        <v>0.11166666666666665</v>
      </c>
      <c r="D27" s="3">
        <v>0.30150000000000005</v>
      </c>
      <c r="E27" s="3">
        <v>14.1775</v>
      </c>
      <c r="F27" s="3">
        <v>52.87016666666667</v>
      </c>
      <c r="G27" s="3">
        <v>18.427499999999998</v>
      </c>
      <c r="H27" s="3">
        <v>12.506500000000001</v>
      </c>
      <c r="I27" s="3">
        <v>0.1615</v>
      </c>
      <c r="J27" s="3">
        <f>SUM(C27:I27)</f>
        <v>98.556333333333342</v>
      </c>
    </row>
    <row r="28" spans="1:10" x14ac:dyDescent="0.35">
      <c r="A28">
        <v>5014</v>
      </c>
      <c r="B28">
        <v>5</v>
      </c>
      <c r="C28" s="3">
        <v>9.0554166666666672E-2</v>
      </c>
      <c r="D28" s="3">
        <v>0.36604166666666671</v>
      </c>
      <c r="E28" s="3">
        <v>14.601333333333333</v>
      </c>
      <c r="F28" s="3">
        <v>49.599654166666667</v>
      </c>
      <c r="G28" s="3">
        <v>23.579183333333333</v>
      </c>
      <c r="H28" s="3">
        <v>10.110275000000001</v>
      </c>
      <c r="I28" s="3">
        <v>0.17513333333333334</v>
      </c>
      <c r="J28" s="3">
        <f>SUM(C28:I28)</f>
        <v>98.522175000000004</v>
      </c>
    </row>
    <row r="30" spans="1:10" ht="15" x14ac:dyDescent="0.35">
      <c r="A30" s="4" t="s">
        <v>236</v>
      </c>
    </row>
    <row r="31" spans="1:10" x14ac:dyDescent="0.35">
      <c r="A31" s="5"/>
    </row>
    <row r="32" spans="1:10" x14ac:dyDescent="0.35">
      <c r="A32" s="6" t="s">
        <v>192</v>
      </c>
    </row>
    <row r="33" spans="1:8" x14ac:dyDescent="0.35">
      <c r="A33" s="6" t="s">
        <v>193</v>
      </c>
    </row>
    <row r="34" spans="1:8" x14ac:dyDescent="0.35">
      <c r="A34" s="6" t="s">
        <v>194</v>
      </c>
    </row>
    <row r="35" spans="1:8" x14ac:dyDescent="0.35">
      <c r="A35" s="6" t="s">
        <v>195</v>
      </c>
    </row>
    <row r="36" spans="1:8" x14ac:dyDescent="0.35">
      <c r="A36" s="6" t="s">
        <v>196</v>
      </c>
    </row>
    <row r="37" spans="1:8" x14ac:dyDescent="0.35">
      <c r="A37" s="5"/>
    </row>
    <row r="38" spans="1:8" x14ac:dyDescent="0.35">
      <c r="A38" s="5" t="s">
        <v>237</v>
      </c>
    </row>
    <row r="39" spans="1:8" ht="15" x14ac:dyDescent="0.35">
      <c r="A39" s="4"/>
    </row>
    <row r="40" spans="1:8" ht="15" x14ac:dyDescent="0.35">
      <c r="A40" s="4" t="s">
        <v>146</v>
      </c>
    </row>
    <row r="41" spans="1:8" x14ac:dyDescent="0.35">
      <c r="A41" s="5"/>
    </row>
    <row r="42" spans="1:8" x14ac:dyDescent="0.35">
      <c r="A42" s="5" t="s">
        <v>147</v>
      </c>
      <c r="B42" s="5" t="s">
        <v>148</v>
      </c>
      <c r="C42" s="5" t="s">
        <v>149</v>
      </c>
      <c r="D42" s="5" t="s">
        <v>150</v>
      </c>
      <c r="E42" s="5" t="s">
        <v>151</v>
      </c>
      <c r="F42" s="5" t="s">
        <v>152</v>
      </c>
      <c r="G42" s="5" t="s">
        <v>153</v>
      </c>
      <c r="H42" s="5" t="s">
        <v>155</v>
      </c>
    </row>
    <row r="43" spans="1:8" x14ac:dyDescent="0.35">
      <c r="E43" s="5" t="s">
        <v>157</v>
      </c>
      <c r="G43" s="5" t="s">
        <v>158</v>
      </c>
      <c r="H43" s="5" t="s">
        <v>159</v>
      </c>
    </row>
    <row r="44" spans="1:8" x14ac:dyDescent="0.35">
      <c r="A44" s="5"/>
    </row>
    <row r="45" spans="1:8" x14ac:dyDescent="0.35">
      <c r="A45" s="5" t="s">
        <v>160</v>
      </c>
      <c r="B45" s="5" t="s">
        <v>161</v>
      </c>
      <c r="C45" s="5" t="s">
        <v>162</v>
      </c>
      <c r="D45" s="5">
        <v>46355</v>
      </c>
      <c r="E45" s="5">
        <v>20</v>
      </c>
      <c r="G45" s="5">
        <v>1</v>
      </c>
      <c r="H45" s="5" t="s">
        <v>163</v>
      </c>
    </row>
    <row r="46" spans="1:8" x14ac:dyDescent="0.35">
      <c r="A46" s="5" t="s">
        <v>164</v>
      </c>
      <c r="B46" s="5" t="s">
        <v>165</v>
      </c>
      <c r="C46" s="5" t="s">
        <v>162</v>
      </c>
      <c r="D46" s="5">
        <v>38503</v>
      </c>
      <c r="E46" s="5">
        <v>20</v>
      </c>
      <c r="G46" s="5">
        <v>1</v>
      </c>
      <c r="H46" s="5" t="s">
        <v>166</v>
      </c>
    </row>
    <row r="47" spans="1:8" x14ac:dyDescent="0.35">
      <c r="A47" s="5" t="s">
        <v>167</v>
      </c>
      <c r="B47" s="5" t="s">
        <v>161</v>
      </c>
      <c r="C47" s="5" t="s">
        <v>162</v>
      </c>
      <c r="D47" s="5">
        <v>32463</v>
      </c>
      <c r="E47" s="5">
        <v>20</v>
      </c>
      <c r="G47" s="5">
        <v>1</v>
      </c>
      <c r="H47" s="5" t="s">
        <v>168</v>
      </c>
    </row>
    <row r="48" spans="1:8" x14ac:dyDescent="0.35">
      <c r="A48" s="5" t="s">
        <v>169</v>
      </c>
      <c r="B48" s="5" t="s">
        <v>165</v>
      </c>
      <c r="C48" s="5" t="s">
        <v>162</v>
      </c>
      <c r="D48" s="5">
        <v>27738</v>
      </c>
      <c r="E48" s="5">
        <v>20</v>
      </c>
      <c r="G48" s="5">
        <v>1</v>
      </c>
      <c r="H48" s="5" t="s">
        <v>170</v>
      </c>
    </row>
    <row r="49" spans="1:8" x14ac:dyDescent="0.35">
      <c r="A49" s="5" t="s">
        <v>171</v>
      </c>
      <c r="B49" s="5" t="s">
        <v>172</v>
      </c>
      <c r="C49" s="5" t="s">
        <v>173</v>
      </c>
      <c r="D49" s="5">
        <v>31452</v>
      </c>
      <c r="E49" s="5">
        <v>20</v>
      </c>
      <c r="F49" s="5">
        <v>-600</v>
      </c>
      <c r="G49" s="5">
        <v>1</v>
      </c>
      <c r="H49" s="5" t="s">
        <v>174</v>
      </c>
    </row>
    <row r="50" spans="1:8" x14ac:dyDescent="0.35">
      <c r="A50" s="5" t="s">
        <v>175</v>
      </c>
      <c r="B50" s="5" t="s">
        <v>172</v>
      </c>
      <c r="C50" s="5" t="s">
        <v>173</v>
      </c>
      <c r="D50" s="5">
        <v>38388</v>
      </c>
      <c r="E50" s="5">
        <v>20</v>
      </c>
      <c r="F50" s="5">
        <v>-600</v>
      </c>
      <c r="G50" s="5">
        <v>1</v>
      </c>
      <c r="H50" s="5" t="s">
        <v>176</v>
      </c>
    </row>
    <row r="51" spans="1:8" x14ac:dyDescent="0.35">
      <c r="A51" s="5" t="s">
        <v>177</v>
      </c>
      <c r="B51" s="5" t="s">
        <v>178</v>
      </c>
      <c r="C51" s="5" t="s">
        <v>179</v>
      </c>
      <c r="D51" s="5">
        <v>48084</v>
      </c>
      <c r="E51" s="5">
        <v>20</v>
      </c>
      <c r="F51" s="5">
        <v>-600</v>
      </c>
      <c r="G51" s="5">
        <v>1</v>
      </c>
      <c r="H51" s="5" t="s">
        <v>180</v>
      </c>
    </row>
    <row r="52" spans="1:8" x14ac:dyDescent="0.35">
      <c r="A52" s="5" t="s">
        <v>181</v>
      </c>
      <c r="B52" s="5" t="s">
        <v>178</v>
      </c>
      <c r="C52" s="5" t="s">
        <v>179</v>
      </c>
      <c r="D52" s="5">
        <v>56877</v>
      </c>
      <c r="E52" s="5">
        <v>20</v>
      </c>
      <c r="F52" s="5">
        <v>-600</v>
      </c>
      <c r="G52" s="5">
        <v>1</v>
      </c>
      <c r="H52" s="5" t="s">
        <v>182</v>
      </c>
    </row>
    <row r="53" spans="1:8" x14ac:dyDescent="0.35">
      <c r="A53" s="5" t="s">
        <v>183</v>
      </c>
      <c r="B53" s="5" t="s">
        <v>184</v>
      </c>
      <c r="C53" s="5" t="s">
        <v>185</v>
      </c>
      <c r="D53" s="5">
        <v>52206</v>
      </c>
      <c r="E53" s="5">
        <v>15</v>
      </c>
      <c r="G53" s="5">
        <v>1</v>
      </c>
      <c r="H53" s="5" t="s">
        <v>186</v>
      </c>
    </row>
    <row r="54" spans="1:8" x14ac:dyDescent="0.35">
      <c r="A54" s="5" t="s">
        <v>187</v>
      </c>
      <c r="B54" s="5" t="s">
        <v>184</v>
      </c>
      <c r="C54" s="5" t="s">
        <v>185</v>
      </c>
      <c r="D54" s="5">
        <v>41182</v>
      </c>
      <c r="E54" s="5">
        <v>20</v>
      </c>
      <c r="F54" s="5">
        <v>-500</v>
      </c>
      <c r="G54" s="5">
        <v>1</v>
      </c>
      <c r="H54" s="5" t="s">
        <v>188</v>
      </c>
    </row>
    <row r="55" spans="1:8" x14ac:dyDescent="0.35">
      <c r="A55" s="5" t="s">
        <v>189</v>
      </c>
      <c r="B55" s="5" t="s">
        <v>184</v>
      </c>
      <c r="C55" s="5" t="s">
        <v>185</v>
      </c>
      <c r="D55" s="5">
        <v>62178</v>
      </c>
      <c r="E55" s="5">
        <v>15</v>
      </c>
      <c r="F55" s="5">
        <v>-500</v>
      </c>
      <c r="G55" s="5">
        <v>1</v>
      </c>
      <c r="H55" s="5" t="s">
        <v>190</v>
      </c>
    </row>
    <row r="56" spans="1:8" x14ac:dyDescent="0.35">
      <c r="B56" s="5" t="s">
        <v>191</v>
      </c>
    </row>
    <row r="57" spans="1:8" x14ac:dyDescent="0.35">
      <c r="A57" s="5"/>
    </row>
    <row r="58" spans="1:8" x14ac:dyDescent="0.35">
      <c r="A58" s="5" t="s">
        <v>237</v>
      </c>
    </row>
    <row r="87" spans="1:9" ht="15" x14ac:dyDescent="0.35">
      <c r="A87" s="4" t="s">
        <v>146</v>
      </c>
    </row>
    <row r="88" spans="1:9" x14ac:dyDescent="0.35">
      <c r="A88" s="5"/>
    </row>
    <row r="89" spans="1:9" x14ac:dyDescent="0.35">
      <c r="A89" s="5" t="s">
        <v>147</v>
      </c>
      <c r="B89" s="5" t="s">
        <v>148</v>
      </c>
      <c r="C89" s="5" t="s">
        <v>149</v>
      </c>
      <c r="D89" s="5" t="s">
        <v>150</v>
      </c>
      <c r="E89" s="5" t="s">
        <v>151</v>
      </c>
      <c r="F89" s="5" t="s">
        <v>154</v>
      </c>
      <c r="G89" s="5" t="s">
        <v>156</v>
      </c>
      <c r="H89" s="5" t="s">
        <v>197</v>
      </c>
      <c r="I89" s="5" t="s">
        <v>198</v>
      </c>
    </row>
    <row r="90" spans="1:9" x14ac:dyDescent="0.35">
      <c r="E90" s="5" t="s">
        <v>157</v>
      </c>
      <c r="H90" s="5">
        <v>15</v>
      </c>
      <c r="I90">
        <v>20</v>
      </c>
    </row>
    <row r="91" spans="1:9" x14ac:dyDescent="0.35">
      <c r="A91" s="5"/>
      <c r="H91" s="5"/>
    </row>
    <row r="92" spans="1:9" x14ac:dyDescent="0.35">
      <c r="A92" s="5" t="s">
        <v>160</v>
      </c>
      <c r="B92" s="5" t="s">
        <v>161</v>
      </c>
      <c r="C92" s="5" t="s">
        <v>162</v>
      </c>
      <c r="D92" s="5">
        <v>46355</v>
      </c>
      <c r="E92" s="5">
        <v>20</v>
      </c>
      <c r="F92" s="5">
        <v>10</v>
      </c>
      <c r="G92" s="5">
        <v>59.8</v>
      </c>
      <c r="H92" s="5"/>
    </row>
    <row r="93" spans="1:9" x14ac:dyDescent="0.35">
      <c r="A93" s="5" t="s">
        <v>164</v>
      </c>
      <c r="B93" s="5" t="s">
        <v>165</v>
      </c>
      <c r="C93" s="5" t="s">
        <v>162</v>
      </c>
      <c r="D93" s="5">
        <v>38503</v>
      </c>
      <c r="E93" s="5">
        <v>20</v>
      </c>
      <c r="F93" s="5">
        <v>10</v>
      </c>
      <c r="G93" s="5">
        <v>930.7</v>
      </c>
      <c r="H93" s="5"/>
    </row>
    <row r="94" spans="1:9" x14ac:dyDescent="0.35">
      <c r="A94" s="5" t="s">
        <v>167</v>
      </c>
      <c r="B94" s="5" t="s">
        <v>161</v>
      </c>
      <c r="C94" s="5" t="s">
        <v>162</v>
      </c>
      <c r="D94" s="5">
        <v>32463</v>
      </c>
      <c r="E94" s="5">
        <v>20</v>
      </c>
      <c r="F94" s="5">
        <v>10</v>
      </c>
      <c r="G94" s="5">
        <v>254.4</v>
      </c>
    </row>
    <row r="95" spans="1:9" x14ac:dyDescent="0.35">
      <c r="A95" s="5" t="s">
        <v>169</v>
      </c>
      <c r="B95" s="5" t="s">
        <v>165</v>
      </c>
      <c r="C95" s="5" t="s">
        <v>162</v>
      </c>
      <c r="D95" s="5">
        <v>27738</v>
      </c>
      <c r="E95" s="5">
        <v>20</v>
      </c>
      <c r="F95" s="5">
        <v>10</v>
      </c>
      <c r="G95" s="5">
        <v>937.5</v>
      </c>
      <c r="H95" s="5"/>
      <c r="I95" s="5"/>
    </row>
    <row r="96" spans="1:9" x14ac:dyDescent="0.35">
      <c r="A96" s="5" t="s">
        <v>171</v>
      </c>
      <c r="B96" s="5" t="s">
        <v>172</v>
      </c>
      <c r="C96" s="5" t="s">
        <v>173</v>
      </c>
      <c r="D96" s="5">
        <v>31452</v>
      </c>
      <c r="E96" s="5">
        <v>20</v>
      </c>
      <c r="F96" s="5">
        <v>10</v>
      </c>
      <c r="G96" s="5">
        <v>1886.7</v>
      </c>
    </row>
    <row r="97" spans="1:7" x14ac:dyDescent="0.35">
      <c r="A97" s="5" t="s">
        <v>175</v>
      </c>
      <c r="B97" s="5" t="s">
        <v>172</v>
      </c>
      <c r="C97" s="5" t="s">
        <v>173</v>
      </c>
      <c r="D97" s="5">
        <v>38388</v>
      </c>
      <c r="E97" s="5">
        <v>20</v>
      </c>
      <c r="F97" s="5">
        <v>10</v>
      </c>
      <c r="G97" s="5">
        <v>471.9</v>
      </c>
    </row>
    <row r="98" spans="1:7" x14ac:dyDescent="0.35">
      <c r="A98" s="5" t="s">
        <v>177</v>
      </c>
      <c r="B98" s="5" t="s">
        <v>178</v>
      </c>
      <c r="C98" s="5" t="s">
        <v>179</v>
      </c>
      <c r="D98" s="5">
        <v>48084</v>
      </c>
      <c r="E98" s="5">
        <v>20</v>
      </c>
      <c r="F98" s="5">
        <v>10</v>
      </c>
      <c r="G98" s="5">
        <v>489.7</v>
      </c>
    </row>
    <row r="99" spans="1:7" x14ac:dyDescent="0.35">
      <c r="A99" s="5" t="s">
        <v>181</v>
      </c>
      <c r="B99" s="5" t="s">
        <v>178</v>
      </c>
      <c r="C99" s="5" t="s">
        <v>179</v>
      </c>
      <c r="D99" s="5">
        <v>56877</v>
      </c>
      <c r="E99" s="5">
        <v>20</v>
      </c>
      <c r="F99" s="5">
        <v>10</v>
      </c>
      <c r="G99" s="5">
        <v>451.4</v>
      </c>
    </row>
    <row r="100" spans="1:7" x14ac:dyDescent="0.35">
      <c r="A100" s="5" t="s">
        <v>183</v>
      </c>
      <c r="B100" s="5" t="s">
        <v>184</v>
      </c>
      <c r="C100" s="5" t="s">
        <v>185</v>
      </c>
      <c r="D100" s="5">
        <v>52206</v>
      </c>
      <c r="E100" s="5">
        <v>15</v>
      </c>
      <c r="F100" s="5">
        <v>7.5</v>
      </c>
      <c r="G100" s="5">
        <v>36</v>
      </c>
    </row>
    <row r="101" spans="1:7" x14ac:dyDescent="0.35">
      <c r="A101" s="5" t="s">
        <v>187</v>
      </c>
      <c r="B101" s="5" t="s">
        <v>184</v>
      </c>
      <c r="C101" s="5" t="s">
        <v>185</v>
      </c>
      <c r="D101" s="5">
        <v>41182</v>
      </c>
      <c r="E101" s="5">
        <v>20</v>
      </c>
      <c r="F101" s="5">
        <v>10</v>
      </c>
      <c r="G101" s="5">
        <v>78.099999999999994</v>
      </c>
    </row>
    <row r="102" spans="1:7" x14ac:dyDescent="0.35">
      <c r="A102" s="5" t="s">
        <v>189</v>
      </c>
      <c r="B102" s="5" t="s">
        <v>184</v>
      </c>
      <c r="C102" s="5" t="s">
        <v>185</v>
      </c>
      <c r="D102" s="5">
        <v>62178</v>
      </c>
      <c r="E102" s="5">
        <v>15</v>
      </c>
      <c r="F102" s="5">
        <v>7.5</v>
      </c>
      <c r="G102" s="5">
        <v>113.6</v>
      </c>
    </row>
    <row r="103" spans="1:7" x14ac:dyDescent="0.35">
      <c r="B103" s="5" t="s">
        <v>191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Location</vt:lpstr>
      <vt:lpstr>whole rock</vt:lpstr>
      <vt:lpstr>ref chromite</vt:lpstr>
      <vt:lpstr>ref silicates</vt:lpstr>
      <vt:lpstr>chromite</vt:lpstr>
      <vt:lpstr>silicates</vt:lpstr>
      <vt:lpstr>probe</vt:lpstr>
    </vt:vector>
  </TitlesOfParts>
  <Company>UQAC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Sarah-Jane Barnes</dc:creator>
  <cp:lastModifiedBy>Sarah-Jane Barnes</cp:lastModifiedBy>
  <dcterms:created xsi:type="dcterms:W3CDTF">2023-10-04T19:15:16Z</dcterms:created>
  <dcterms:modified xsi:type="dcterms:W3CDTF">2024-03-19T20:54:40Z</dcterms:modified>
</cp:coreProperties>
</file>