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C:\Users\Juraj Majzlan\Documents\Juro\copiapite-thermo\"/>
    </mc:Choice>
  </mc:AlternateContent>
  <xr:revisionPtr revIDLastSave="0" documentId="13_ncr:1_{5BF59E0A-279D-4D6E-92F5-6B208AE64D4D}" xr6:coauthVersionLast="36" xr6:coauthVersionMax="47" xr10:uidLastSave="{00000000-0000-0000-0000-000000000000}"/>
  <bookViews>
    <workbookView xWindow="-105" yWindow="-105" windowWidth="19425" windowHeight="10425" activeTab="8" xr2:uid="{2B567BAC-2A4E-4D78-B50D-CFA371B3C3F2}"/>
  </bookViews>
  <sheets>
    <sheet name="Cp" sheetId="1" r:id="rId1"/>
    <sheet name="fits" sheetId="2" r:id="rId2"/>
    <sheet name="S" sheetId="3" r:id="rId3"/>
    <sheet name="S-6 sigdig" sheetId="4" r:id="rId4"/>
    <sheet name="H" sheetId="5" r:id="rId5"/>
    <sheet name="Davis" sheetId="9" r:id="rId6"/>
    <sheet name="cycle" sheetId="6" r:id="rId7"/>
    <sheet name="lepido" sheetId="7" r:id="rId8"/>
    <sheet name="G" sheetId="8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7" l="1"/>
  <c r="I6" i="8" l="1"/>
  <c r="G9" i="9"/>
  <c r="G11" i="9" s="1"/>
  <c r="G13" i="9" s="1"/>
  <c r="F9" i="9"/>
  <c r="F11" i="9" s="1"/>
  <c r="F13" i="9" s="1"/>
  <c r="E9" i="9"/>
  <c r="E11" i="9" s="1"/>
  <c r="E13" i="9" s="1"/>
  <c r="D9" i="9"/>
  <c r="D11" i="9" s="1"/>
  <c r="D13" i="9" s="1"/>
  <c r="C9" i="9"/>
  <c r="C11" i="9" s="1"/>
  <c r="C13" i="9" s="1"/>
  <c r="B17" i="9" l="1"/>
  <c r="B18" i="9" s="1"/>
  <c r="B16" i="9"/>
  <c r="E6" i="8"/>
  <c r="E7" i="8" s="1"/>
  <c r="F6" i="8" l="1"/>
  <c r="F7" i="8" s="1"/>
  <c r="B32" i="6"/>
  <c r="C32" i="6" s="1"/>
  <c r="C37" i="6" s="1"/>
  <c r="F35" i="6"/>
  <c r="D37" i="6"/>
  <c r="G36" i="6"/>
  <c r="F36" i="6"/>
  <c r="E36" i="6"/>
  <c r="C36" i="6"/>
  <c r="G34" i="6"/>
  <c r="E33" i="6"/>
  <c r="B23" i="6"/>
  <c r="G23" i="6" s="1"/>
  <c r="B21" i="6"/>
  <c r="F21" i="6" s="1"/>
  <c r="E25" i="6"/>
  <c r="F25" i="6"/>
  <c r="G25" i="6"/>
  <c r="C25" i="6"/>
  <c r="F24" i="6"/>
  <c r="D24" i="6"/>
  <c r="F22" i="6"/>
  <c r="E22" i="6"/>
  <c r="E26" i="6" s="1"/>
  <c r="D22" i="6"/>
  <c r="D26" i="6" s="1"/>
  <c r="B4" i="7"/>
  <c r="C2" i="7"/>
  <c r="B2" i="7"/>
  <c r="E37" i="6" l="1"/>
  <c r="G37" i="6"/>
  <c r="B5" i="7"/>
  <c r="B4" i="6" s="1"/>
  <c r="F23" i="6"/>
  <c r="F26" i="6" s="1"/>
  <c r="G21" i="6"/>
  <c r="G26" i="6" s="1"/>
  <c r="C21" i="6"/>
  <c r="C26" i="6" s="1"/>
  <c r="F37" i="6" l="1"/>
  <c r="C7" i="6" l="1"/>
  <c r="B7" i="6"/>
  <c r="B32" i="5"/>
  <c r="C10" i="6" s="1"/>
  <c r="B31" i="5"/>
  <c r="B10" i="6" s="1"/>
  <c r="M26" i="5"/>
  <c r="N6" i="5"/>
  <c r="M6" i="5"/>
  <c r="L6" i="5"/>
  <c r="K6" i="5"/>
  <c r="J6" i="5"/>
  <c r="I6" i="5"/>
  <c r="H6" i="5"/>
  <c r="G6" i="5"/>
  <c r="F6" i="5"/>
  <c r="E6" i="5"/>
  <c r="D6" i="5"/>
  <c r="C6" i="5"/>
  <c r="J4" i="1"/>
  <c r="H14" i="6" l="1"/>
  <c r="E5" i="8" s="1"/>
  <c r="I5" i="8" s="1"/>
  <c r="H12" i="6"/>
  <c r="I14" i="6"/>
  <c r="F5" i="8" s="1"/>
  <c r="I12" i="6"/>
  <c r="F26" i="5"/>
  <c r="C26" i="5"/>
  <c r="G26" i="5"/>
  <c r="K26" i="5"/>
  <c r="J26" i="5"/>
  <c r="D26" i="5"/>
  <c r="H26" i="5"/>
  <c r="L26" i="5"/>
  <c r="N26" i="5"/>
  <c r="E26" i="5"/>
  <c r="I26" i="5"/>
  <c r="D17" i="8" l="1"/>
  <c r="F8" i="8"/>
  <c r="D14" i="8" s="1"/>
  <c r="D15" i="8" s="1"/>
  <c r="D16" i="8" s="1"/>
  <c r="E8" i="8"/>
  <c r="C14" i="8" s="1"/>
  <c r="C15" i="8" s="1"/>
  <c r="C16" i="8" s="1"/>
  <c r="C17" i="8"/>
</calcChain>
</file>

<file path=xl/sharedStrings.xml><?xml version="1.0" encoding="utf-8"?>
<sst xmlns="http://schemas.openxmlformats.org/spreadsheetml/2006/main" count="314" uniqueCount="180">
  <si>
    <t>gemessen: Juni 2016</t>
  </si>
  <si>
    <t>Cp(PPMS) at 285 K</t>
  </si>
  <si>
    <t>(J/mol.K)</t>
  </si>
  <si>
    <t>Cp-Daten: Ferri-Copiapite</t>
  </si>
  <si>
    <t>Cp(DSC)   at 285 K</t>
  </si>
  <si>
    <t>MG = 1231.31 g/mol</t>
  </si>
  <si>
    <t>PPMS1</t>
  </si>
  <si>
    <t>DSC1</t>
  </si>
  <si>
    <t>PPMS-DSC agreement at 285 K:</t>
  </si>
  <si>
    <t>%</t>
  </si>
  <si>
    <t>100(Cp(PPMS)-Cp(DSC))/Cp(DSC)</t>
  </si>
  <si>
    <t>So (2-298 K)</t>
  </si>
  <si>
    <t>sigma-So</t>
  </si>
  <si>
    <t>9.08 mg</t>
  </si>
  <si>
    <t>T</t>
  </si>
  <si>
    <t>Cp</t>
  </si>
  <si>
    <t>sigma-Cp</t>
  </si>
  <si>
    <t>(K)</t>
  </si>
  <si>
    <t>FUNCTION FIT</t>
  </si>
  <si>
    <t>CRUDE FIT</t>
  </si>
  <si>
    <t>H</t>
  </si>
  <si>
    <t>dH/T</t>
  </si>
  <si>
    <t>S</t>
  </si>
  <si>
    <t>G</t>
  </si>
  <si>
    <t>'-G/T</t>
  </si>
  <si>
    <t>deltaK</t>
  </si>
  <si>
    <t>deltaCp</t>
  </si>
  <si>
    <t>deltaH</t>
  </si>
  <si>
    <t>deltadH/T</t>
  </si>
  <si>
    <t>deltaS</t>
  </si>
  <si>
    <t>deltaG</t>
  </si>
  <si>
    <t>delta(-G/T)</t>
  </si>
  <si>
    <t>K</t>
  </si>
  <si>
    <t>J/K</t>
  </si>
  <si>
    <t>J</t>
  </si>
  <si>
    <t>NaN</t>
  </si>
  <si>
    <t>*** reached the upper limit of function: fit 1</t>
  </si>
  <si>
    <t>*** reached the upper limit of function: fit 2</t>
  </si>
  <si>
    <t>data ferricop-all.txt</t>
  </si>
  <si>
    <t>fit 1</t>
  </si>
  <si>
    <t>valid 0.0-15.0</t>
  </si>
  <si>
    <t>limit 0.0-9.5</t>
  </si>
  <si>
    <t>polynomial</t>
  </si>
  <si>
    <t>1.0,1.4554861538053956</t>
  </si>
  <si>
    <t>2.0,-0.7830090438219486</t>
  </si>
  <si>
    <t>3.0,0.14661673596719993</t>
  </si>
  <si>
    <t>4.0,-0.008690603629801785</t>
  </si>
  <si>
    <t>5.0,0.0001765100253172669</t>
  </si>
  <si>
    <t>fit 2</t>
  </si>
  <si>
    <t>valid 5.0-120.0</t>
  </si>
  <si>
    <t>limit 9.5-96.0</t>
  </si>
  <si>
    <t>0.0,20.019806017658823</t>
  </si>
  <si>
    <t>1.0,-9.88455045877754</t>
  </si>
  <si>
    <t>2.0,1.6774179537110339</t>
  </si>
  <si>
    <t>3.0,-0.1099550846731368</t>
  </si>
  <si>
    <t>4.0,0.004388827387388392</t>
  </si>
  <si>
    <t>5.0,-0.00010825550326243165</t>
  </si>
  <si>
    <t>6.0,1.6862294550653396e-06</t>
  </si>
  <si>
    <t>7.0,-1.6596561223029233e-08</t>
  </si>
  <si>
    <t>8.0,9.983369660837676e-11</t>
  </si>
  <si>
    <t>9.0,-3.3395364808567944e-13</t>
  </si>
  <si>
    <t>10.0,4.741855720876346e-16</t>
  </si>
  <si>
    <t>fit 3</t>
  </si>
  <si>
    <t>valid 80.0-308.0</t>
  </si>
  <si>
    <t>limit 96.0-302.0</t>
  </si>
  <si>
    <t>0.0,5250.225838326575</t>
  </si>
  <si>
    <t>1.0,-261.5381736996917</t>
  </si>
  <si>
    <t>2.0,5.728764734380186</t>
  </si>
  <si>
    <t>3.0,-0.06765320920001014</t>
  </si>
  <si>
    <t>4.0,0.00048189392929312086</t>
  </si>
  <si>
    <t>5.0,-2.125972686407512e-06</t>
  </si>
  <si>
    <t>6.0,5.685691785939057e-09</t>
  </si>
  <si>
    <t>7.0,-8.447129491351327e-12</t>
  </si>
  <si>
    <t>8.0,5.3501548935577495e-15</t>
  </si>
  <si>
    <t>EOF</t>
  </si>
  <si>
    <t>with 4 significant digits, for SI</t>
  </si>
  <si>
    <t>with 6 significant digits</t>
  </si>
  <si>
    <t>Säurelösungskalorimeter</t>
  </si>
  <si>
    <t>DropID</t>
  </si>
  <si>
    <t>Ferri-Cop_1</t>
  </si>
  <si>
    <t>Ferri-Cop_2</t>
  </si>
  <si>
    <t>Ferri-Cop_3</t>
  </si>
  <si>
    <t>Masse Pellet [mg]</t>
  </si>
  <si>
    <t>Raumtemp [°C]</t>
  </si>
  <si>
    <t>Kalorimetertemp [°C]</t>
  </si>
  <si>
    <t>Molengewicht [g/mol]</t>
  </si>
  <si>
    <t>Mol Probe</t>
  </si>
  <si>
    <t>Wärmekapazität Raumtemp [kJ/mol]</t>
  </si>
  <si>
    <t>Wärmekapazität Kalorimeter [kJ/mol]</t>
  </si>
  <si>
    <t>Absolute Wärmeinhalt [J/Pellet]</t>
  </si>
  <si>
    <t>t0</t>
  </si>
  <si>
    <t>t1</t>
  </si>
  <si>
    <t>t2</t>
  </si>
  <si>
    <t>Dauer</t>
  </si>
  <si>
    <t>t3</t>
  </si>
  <si>
    <t>t Baseline return</t>
  </si>
  <si>
    <t>V(0)</t>
  </si>
  <si>
    <t>V(0+t1)</t>
  </si>
  <si>
    <t>V(t2)</t>
  </si>
  <si>
    <t>V(t2+t3)</t>
  </si>
  <si>
    <t>Mittelwert Baseline [counts/min]</t>
  </si>
  <si>
    <t>Baselinekorrektur [Korrektur]</t>
  </si>
  <si>
    <t>% Baselinekorrektur</t>
  </si>
  <si>
    <t>Absolute Counts</t>
  </si>
  <si>
    <t>Kalibrationsfaktor</t>
  </si>
  <si>
    <t>dH [J]</t>
  </si>
  <si>
    <t>dH [kJ/g]</t>
  </si>
  <si>
    <t>dH [kJ/mol]</t>
  </si>
  <si>
    <t>enthalpies of solution in 5 N HCl at 298.15 K</t>
  </si>
  <si>
    <t>formation enthalpies</t>
  </si>
  <si>
    <t>enthalpy of water desorption from lepidocrocite</t>
  </si>
  <si>
    <r>
      <t>FeOOH·0.162H</t>
    </r>
    <r>
      <rPr>
        <vertAlign val="subscript"/>
        <sz val="12"/>
        <rFont val="Aptos"/>
        <family val="2"/>
      </rPr>
      <t>2</t>
    </r>
    <r>
      <rPr>
        <sz val="12"/>
        <rFont val="Aptos"/>
        <family val="2"/>
      </rPr>
      <t>O</t>
    </r>
  </si>
  <si>
    <r>
      <t>H</t>
    </r>
    <r>
      <rPr>
        <vertAlign val="subscript"/>
        <sz val="12"/>
        <color indexed="8"/>
        <rFont val="Aptos"/>
        <family val="2"/>
      </rPr>
      <t>2</t>
    </r>
    <r>
      <rPr>
        <sz val="12"/>
        <color indexed="8"/>
        <rFont val="Aptos"/>
        <family val="2"/>
      </rPr>
      <t>O</t>
    </r>
  </si>
  <si>
    <r>
      <rPr>
        <sz val="12"/>
        <color rgb="FF000000"/>
        <rFont val="Symbol"/>
        <family val="1"/>
        <charset val="2"/>
      </rPr>
      <t>a</t>
    </r>
    <r>
      <rPr>
        <sz val="12"/>
        <color indexed="8"/>
        <rFont val="Aptos"/>
        <family val="2"/>
      </rPr>
      <t>-MgSO</t>
    </r>
    <r>
      <rPr>
        <vertAlign val="subscript"/>
        <sz val="12"/>
        <color indexed="8"/>
        <rFont val="Aptos"/>
        <family val="2"/>
      </rPr>
      <t>4</t>
    </r>
  </si>
  <si>
    <t>MgO</t>
  </si>
  <si>
    <r>
      <t>Fe</t>
    </r>
    <r>
      <rPr>
        <vertAlign val="subscript"/>
        <sz val="11"/>
        <color theme="1"/>
        <rFont val="Aptos Narrow"/>
        <scheme val="minor"/>
      </rPr>
      <t>2/3</t>
    </r>
    <r>
      <rPr>
        <sz val="11"/>
        <color theme="1"/>
        <rFont val="Aptos Narrow"/>
        <family val="2"/>
        <scheme val="minor"/>
      </rPr>
      <t>Fe</t>
    </r>
    <r>
      <rPr>
        <vertAlign val="superscript"/>
        <sz val="11"/>
        <color theme="1"/>
        <rFont val="Aptos Narrow"/>
        <family val="2"/>
        <scheme val="minor"/>
      </rPr>
      <t>3+</t>
    </r>
    <r>
      <rPr>
        <vertAlign val="subscript"/>
        <sz val="11"/>
        <color theme="1"/>
        <rFont val="Aptos Narrow"/>
        <family val="2"/>
        <scheme val="minor"/>
      </rPr>
      <t>4</t>
    </r>
    <r>
      <rPr>
        <sz val="11"/>
        <color theme="1"/>
        <rFont val="Aptos Narrow"/>
        <family val="2"/>
        <scheme val="minor"/>
      </rPr>
      <t>(SO</t>
    </r>
    <r>
      <rPr>
        <vertAlign val="subscript"/>
        <sz val="11"/>
        <color theme="1"/>
        <rFont val="Aptos Narrow"/>
        <family val="2"/>
        <scheme val="minor"/>
      </rPr>
      <t>4</t>
    </r>
    <r>
      <rPr>
        <sz val="11"/>
        <color theme="1"/>
        <rFont val="Aptos Narrow"/>
        <family val="2"/>
        <scheme val="minor"/>
      </rPr>
      <t>)</t>
    </r>
    <r>
      <rPr>
        <vertAlign val="subscript"/>
        <sz val="11"/>
        <color theme="1"/>
        <rFont val="Aptos Narrow"/>
        <family val="2"/>
        <scheme val="minor"/>
      </rPr>
      <t>6</t>
    </r>
    <r>
      <rPr>
        <sz val="11"/>
        <color theme="1"/>
        <rFont val="Aptos Narrow"/>
        <family val="2"/>
        <scheme val="minor"/>
      </rPr>
      <t>(OH)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 xml:space="preserve"> · 20H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O</t>
    </r>
  </si>
  <si>
    <t>FeOOH</t>
  </si>
  <si>
    <t>FeOOH·0.162H2O + 3H+ = Fe3+ + 2.162H2O(aq)</t>
  </si>
  <si>
    <t>FeOOH·0.162H2O = FeOOH + 0.162H2O (l)</t>
  </si>
  <si>
    <t>H2O (l) = H2O (aq)</t>
  </si>
  <si>
    <t>reaction #</t>
  </si>
  <si>
    <t>A</t>
  </si>
  <si>
    <t>FeOOH + 3H+ = Fe3+ + 2H2O</t>
  </si>
  <si>
    <t>check reaction</t>
  </si>
  <si>
    <t>MgSO4</t>
  </si>
  <si>
    <t>H2O</t>
  </si>
  <si>
    <t>Fe</t>
  </si>
  <si>
    <t>Mg</t>
  </si>
  <si>
    <t>O</t>
  </si>
  <si>
    <t>4.667FeOOH + 6MgSO4 + 18.667H2O = Fe4.667(SO4)6(OH)2·20H2O + 6MgO</t>
  </si>
  <si>
    <t>DRH = 4.667DH3 + 6DH4+18.667DH5 - DH9 - 6DH1</t>
  </si>
  <si>
    <t>H2</t>
  </si>
  <si>
    <t>O2</t>
  </si>
  <si>
    <t>4.667Fe + 6S + 23O2 + 21H2 = Fe4.667(SO4)6(OH)2·20H2O</t>
  </si>
  <si>
    <r>
      <t>KAl(SO</t>
    </r>
    <r>
      <rPr>
        <vertAlign val="subscript"/>
        <sz val="12"/>
        <rFont val="Aptos"/>
      </rPr>
      <t>4</t>
    </r>
    <r>
      <rPr>
        <sz val="12"/>
        <rFont val="Aptos"/>
        <family val="2"/>
      </rPr>
      <t>)</t>
    </r>
    <r>
      <rPr>
        <vertAlign val="subscript"/>
        <sz val="12"/>
        <rFont val="Aptos"/>
      </rPr>
      <t>2</t>
    </r>
    <r>
      <rPr>
        <sz val="12"/>
        <rFont val="Aptos"/>
        <family val="2"/>
      </rPr>
      <t>·12H</t>
    </r>
    <r>
      <rPr>
        <vertAlign val="subscript"/>
        <sz val="12"/>
        <rFont val="Aptos"/>
      </rPr>
      <t>2</t>
    </r>
    <r>
      <rPr>
        <sz val="12"/>
        <rFont val="Aptos"/>
        <family val="2"/>
      </rPr>
      <t>O</t>
    </r>
  </si>
  <si>
    <r>
      <t>K</t>
    </r>
    <r>
      <rPr>
        <vertAlign val="subscript"/>
        <sz val="12"/>
        <rFont val="Aptos"/>
      </rPr>
      <t>2</t>
    </r>
    <r>
      <rPr>
        <sz val="12"/>
        <rFont val="Aptos"/>
        <family val="2"/>
      </rPr>
      <t>SO</t>
    </r>
    <r>
      <rPr>
        <vertAlign val="subscript"/>
        <sz val="12"/>
        <rFont val="Aptos"/>
      </rPr>
      <t>4</t>
    </r>
  </si>
  <si>
    <t>DfH = 4.667DH3 + 6DH4+18.667DH5 - DH9 - 6DH1 + 4.667DH14 + 6DH15 + 18.667DH16 - 6DH13</t>
  </si>
  <si>
    <t>Lemire et al. 2019, TDB volume Fe-II</t>
  </si>
  <si>
    <t>RH95</t>
  </si>
  <si>
    <t>enthalpy of formation</t>
  </si>
  <si>
    <t>standard entropy</t>
  </si>
  <si>
    <t>entropy of formation</t>
  </si>
  <si>
    <t>Gibbs free energy of formation</t>
  </si>
  <si>
    <t>ln K</t>
  </si>
  <si>
    <t>log K</t>
  </si>
  <si>
    <r>
      <t>Fe</t>
    </r>
    <r>
      <rPr>
        <vertAlign val="superscript"/>
        <sz val="11"/>
        <color theme="1"/>
        <rFont val="Aptos Narrow"/>
        <family val="2"/>
        <scheme val="minor"/>
      </rPr>
      <t>3+</t>
    </r>
  </si>
  <si>
    <t>Lemire et al. 2013</t>
  </si>
  <si>
    <t>Fe4.667(SO4)6(OH)2·20H2O + 2H+ = 4.667Fe+++ + 6SO4-- + 22H2O</t>
  </si>
  <si>
    <r>
      <t>Fe</t>
    </r>
    <r>
      <rPr>
        <vertAlign val="superscript"/>
        <sz val="11"/>
        <color theme="1"/>
        <rFont val="Aptos Narrow"/>
        <family val="2"/>
        <scheme val="minor"/>
      </rPr>
      <t>2+</t>
    </r>
  </si>
  <si>
    <r>
      <t>Mg</t>
    </r>
    <r>
      <rPr>
        <vertAlign val="superscript"/>
        <sz val="11"/>
        <color theme="1"/>
        <rFont val="Aptos Narrow"/>
        <family val="2"/>
        <scheme val="minor"/>
      </rPr>
      <t>2+</t>
    </r>
  </si>
  <si>
    <r>
      <t>Al</t>
    </r>
    <r>
      <rPr>
        <vertAlign val="superscript"/>
        <sz val="11"/>
        <color theme="1"/>
        <rFont val="Aptos Narrow"/>
        <family val="2"/>
        <scheme val="minor"/>
      </rPr>
      <t>3+</t>
    </r>
  </si>
  <si>
    <r>
      <t>H</t>
    </r>
    <r>
      <rPr>
        <vertAlign val="subscript"/>
        <sz val="11"/>
        <color theme="1"/>
        <rFont val="Aptos Narrow"/>
        <scheme val="minor"/>
      </rPr>
      <t>2</t>
    </r>
    <r>
      <rPr>
        <sz val="11"/>
        <color theme="1"/>
        <rFont val="Aptos Narrow"/>
        <family val="2"/>
        <scheme val="minor"/>
      </rPr>
      <t>O</t>
    </r>
  </si>
  <si>
    <r>
      <t>SO</t>
    </r>
    <r>
      <rPr>
        <vertAlign val="subscript"/>
        <sz val="11"/>
        <color theme="1"/>
        <rFont val="Aptos Narrow"/>
        <scheme val="minor"/>
      </rPr>
      <t>4</t>
    </r>
    <r>
      <rPr>
        <vertAlign val="superscript"/>
        <sz val="11"/>
        <color theme="1"/>
        <rFont val="Aptos Narrow"/>
        <scheme val="minor"/>
      </rPr>
      <t>2-</t>
    </r>
  </si>
  <si>
    <r>
      <rPr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Aptos Narrow"/>
        <scheme val="minor"/>
      </rPr>
      <t>r</t>
    </r>
    <r>
      <rPr>
        <sz val="11"/>
        <color theme="1"/>
        <rFont val="Aptos Narrow"/>
        <family val="2"/>
        <scheme val="minor"/>
      </rPr>
      <t>G</t>
    </r>
    <r>
      <rPr>
        <vertAlign val="superscript"/>
        <sz val="11"/>
        <color theme="1"/>
        <rFont val="Aptos Narrow"/>
        <scheme val="minor"/>
      </rPr>
      <t>o</t>
    </r>
  </si>
  <si>
    <r>
      <rPr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Aptos Narrow"/>
        <scheme val="minor"/>
      </rPr>
      <t>r</t>
    </r>
    <r>
      <rPr>
        <sz val="11"/>
        <color theme="1"/>
        <rFont val="Aptos Narrow"/>
        <family val="2"/>
        <scheme val="minor"/>
      </rPr>
      <t>H</t>
    </r>
    <r>
      <rPr>
        <vertAlign val="superscript"/>
        <sz val="11"/>
        <color theme="1"/>
        <rFont val="Aptos Narrow"/>
        <scheme val="minor"/>
      </rPr>
      <t>o</t>
    </r>
  </si>
  <si>
    <r>
      <t>S</t>
    </r>
    <r>
      <rPr>
        <vertAlign val="superscript"/>
        <sz val="11"/>
        <color theme="1"/>
        <rFont val="Aptos Narrow"/>
        <scheme val="minor"/>
      </rPr>
      <t>o</t>
    </r>
    <r>
      <rPr>
        <sz val="11"/>
        <color theme="1"/>
        <rFont val="Aptos Narrow"/>
        <family val="2"/>
        <scheme val="minor"/>
      </rPr>
      <t xml:space="preserve"> (J K-1 mol-1)</t>
    </r>
  </si>
  <si>
    <r>
      <t>O</t>
    </r>
    <r>
      <rPr>
        <vertAlign val="subscript"/>
        <sz val="11"/>
        <color theme="1"/>
        <rFont val="Aptos Narrow"/>
        <scheme val="minor"/>
      </rPr>
      <t>2</t>
    </r>
  </si>
  <si>
    <r>
      <t>H</t>
    </r>
    <r>
      <rPr>
        <vertAlign val="subscript"/>
        <sz val="11"/>
        <color theme="1"/>
        <rFont val="Aptos Narrow"/>
        <scheme val="minor"/>
      </rPr>
      <t>2</t>
    </r>
  </si>
  <si>
    <t>Al</t>
  </si>
  <si>
    <r>
      <rPr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Aptos Narrow"/>
        <scheme val="minor"/>
      </rPr>
      <t>f</t>
    </r>
    <r>
      <rPr>
        <sz val="11"/>
        <color theme="1"/>
        <rFont val="Aptos Narrow"/>
        <family val="2"/>
        <scheme val="minor"/>
      </rPr>
      <t>G</t>
    </r>
    <r>
      <rPr>
        <vertAlign val="superscript"/>
        <sz val="11"/>
        <color theme="1"/>
        <rFont val="Aptos Narrow"/>
        <scheme val="minor"/>
      </rPr>
      <t>o</t>
    </r>
    <r>
      <rPr>
        <sz val="11"/>
        <color theme="1"/>
        <rFont val="Aptos Narrow"/>
        <family val="2"/>
        <scheme val="minor"/>
      </rPr>
      <t xml:space="preserve"> (kJ mol</t>
    </r>
    <r>
      <rPr>
        <vertAlign val="superscript"/>
        <sz val="11"/>
        <color theme="1"/>
        <rFont val="Aptos Narrow"/>
        <scheme val="minor"/>
      </rPr>
      <t>-1</t>
    </r>
    <r>
      <rPr>
        <sz val="11"/>
        <color theme="1"/>
        <rFont val="Aptos Narrow"/>
        <family val="2"/>
        <scheme val="minor"/>
      </rPr>
      <t>)</t>
    </r>
  </si>
  <si>
    <r>
      <rPr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Aptos Narrow"/>
        <scheme val="minor"/>
      </rPr>
      <t>f</t>
    </r>
    <r>
      <rPr>
        <sz val="11"/>
        <color theme="1"/>
        <rFont val="Aptos Narrow"/>
        <family val="2"/>
        <scheme val="minor"/>
      </rPr>
      <t>H</t>
    </r>
    <r>
      <rPr>
        <vertAlign val="superscript"/>
        <sz val="11"/>
        <color theme="1"/>
        <rFont val="Aptos Narrow"/>
        <scheme val="minor"/>
      </rPr>
      <t>o</t>
    </r>
    <r>
      <rPr>
        <sz val="11"/>
        <color theme="1"/>
        <rFont val="Aptos Narrow"/>
        <family val="2"/>
        <scheme val="minor"/>
      </rPr>
      <t xml:space="preserve"> (kJ mol</t>
    </r>
    <r>
      <rPr>
        <vertAlign val="superscript"/>
        <sz val="11"/>
        <color theme="1"/>
        <rFont val="Aptos Narrow"/>
        <scheme val="minor"/>
      </rPr>
      <t>-1</t>
    </r>
    <r>
      <rPr>
        <sz val="11"/>
        <color theme="1"/>
        <rFont val="Aptos Narrow"/>
        <family val="2"/>
        <scheme val="minor"/>
      </rPr>
      <t>)</t>
    </r>
  </si>
  <si>
    <t>copiapite, acid solution calorimetry (3 mg of periclase added to the acid)</t>
  </si>
  <si>
    <t>5.0 N HCl, 298 K</t>
  </si>
  <si>
    <t>integral</t>
  </si>
  <si>
    <t>calibration factor</t>
  </si>
  <si>
    <t>caloric effect (J)</t>
  </si>
  <si>
    <t>sample weight (mg)</t>
  </si>
  <si>
    <t>H (J/g)</t>
  </si>
  <si>
    <t>molecular weight</t>
  </si>
  <si>
    <t>H (kJ/mol)</t>
  </si>
  <si>
    <t>Jul 25, 02</t>
  </si>
  <si>
    <t>Jul 26, 02</t>
  </si>
  <si>
    <t>average</t>
  </si>
  <si>
    <t>std</t>
  </si>
  <si>
    <t>err</t>
  </si>
  <si>
    <t>n</t>
  </si>
  <si>
    <t>acid-solution calorimetry of ferricopiapite in Davis in 2002</t>
  </si>
  <si>
    <t>see file Fe sulfates calorimetry.xls</t>
  </si>
  <si>
    <t>calculated DfHo for ideal composition</t>
  </si>
  <si>
    <t>estimate, Ogorodova et al. 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</si>
</sst>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/mm/yy"/>
    <numFmt numFmtId="165" formatCode="0.00000"/>
    <numFmt numFmtId="166" formatCode="0.00000000"/>
    <numFmt numFmtId="167" formatCode="0.000"/>
    <numFmt numFmtId="168" formatCode="0.0000"/>
    <numFmt numFmtId="169" formatCode="0.0"/>
  </numFmts>
  <fonts count="28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rgb="FFFF0000"/>
      <name val="Aptos Narrow"/>
      <family val="2"/>
      <scheme val="minor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25"/>
      <name val="Arial"/>
      <family val="2"/>
    </font>
    <font>
      <sz val="12"/>
      <name val="Aptos"/>
      <family val="2"/>
    </font>
    <font>
      <sz val="12"/>
      <color theme="1"/>
      <name val="Aptos"/>
      <family val="2"/>
    </font>
    <font>
      <vertAlign val="subscript"/>
      <sz val="12"/>
      <name val="Aptos"/>
      <family val="2"/>
    </font>
    <font>
      <sz val="12"/>
      <color indexed="8"/>
      <name val="Aptos"/>
      <family val="2"/>
    </font>
    <font>
      <vertAlign val="subscript"/>
      <sz val="12"/>
      <color indexed="8"/>
      <name val="Aptos"/>
      <family val="2"/>
    </font>
    <font>
      <sz val="12"/>
      <color rgb="FF000000"/>
      <name val="Symbol"/>
      <family val="1"/>
      <charset val="2"/>
    </font>
    <font>
      <sz val="12"/>
      <color indexed="8"/>
      <name val="Aptos"/>
      <family val="1"/>
      <charset val="2"/>
    </font>
    <font>
      <vertAlign val="superscript"/>
      <sz val="11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vertAlign val="subscript"/>
      <sz val="11"/>
      <color theme="1"/>
      <name val="Aptos Narrow"/>
      <scheme val="minor"/>
    </font>
    <font>
      <vertAlign val="subscript"/>
      <sz val="12"/>
      <name val="Aptos"/>
    </font>
    <font>
      <sz val="11"/>
      <name val="Aptos Narrow"/>
      <family val="2"/>
      <scheme val="minor"/>
    </font>
    <font>
      <vertAlign val="superscript"/>
      <sz val="11"/>
      <color theme="1"/>
      <name val="Aptos Narrow"/>
      <scheme val="minor"/>
    </font>
    <font>
      <sz val="11"/>
      <color theme="1"/>
      <name val="Symbol"/>
      <family val="1"/>
      <charset val="2"/>
    </font>
    <font>
      <sz val="11"/>
      <color theme="1"/>
      <name val="Aptos Narrow"/>
      <family val="1"/>
      <charset val="2"/>
      <scheme val="minor"/>
    </font>
    <font>
      <sz val="14"/>
      <name val="Times New Roman"/>
    </font>
    <font>
      <sz val="10"/>
      <name val="Times New Roman"/>
    </font>
    <font>
      <sz val="8"/>
      <name val="Times New Roman"/>
    </font>
    <font>
      <sz val="12"/>
      <name val="Times New Roman"/>
    </font>
    <font>
      <b/>
      <sz val="11"/>
      <color rgb="FFFF0000"/>
      <name val="Aptos Narrow"/>
      <scheme val="minor"/>
    </font>
    <font>
      <b/>
      <sz val="11"/>
      <color theme="1"/>
      <name val="Aptos Narrow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indexed="11"/>
        <bgColor indexed="15"/>
      </patternFill>
    </fill>
    <fill>
      <patternFill patternType="solid">
        <fgColor indexed="13"/>
        <bgColor indexed="3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42"/>
        <bgColor indexed="11"/>
      </patternFill>
    </fill>
    <fill>
      <patternFill patternType="solid">
        <fgColor indexed="26"/>
        <bgColor indexed="19"/>
      </patternFill>
    </fill>
  </fills>
  <borders count="10">
    <border>
      <left/>
      <right/>
      <top/>
      <bottom/>
      <diagonal/>
    </border>
    <border>
      <left style="thin">
        <color rgb="FF212121"/>
      </left>
      <right/>
      <top style="thin">
        <color rgb="FF212121"/>
      </top>
      <bottom/>
      <diagonal/>
    </border>
    <border>
      <left/>
      <right/>
      <top style="thin">
        <color rgb="FF212121"/>
      </top>
      <bottom/>
      <diagonal/>
    </border>
    <border>
      <left/>
      <right style="thin">
        <color rgb="FF212121"/>
      </right>
      <top style="thin">
        <color rgb="FF212121"/>
      </top>
      <bottom/>
      <diagonal/>
    </border>
    <border>
      <left style="thin">
        <color rgb="FF212121"/>
      </left>
      <right/>
      <top/>
      <bottom/>
      <diagonal/>
    </border>
    <border>
      <left/>
      <right style="thin">
        <color rgb="FF212121"/>
      </right>
      <top/>
      <bottom/>
      <diagonal/>
    </border>
    <border>
      <left style="thin">
        <color rgb="FF212121"/>
      </left>
      <right style="thin">
        <color rgb="FF212121"/>
      </right>
      <top style="thin">
        <color rgb="FF212121"/>
      </top>
      <bottom/>
      <diagonal/>
    </border>
    <border>
      <left style="thin">
        <color rgb="FF212121"/>
      </left>
      <right/>
      <top/>
      <bottom style="thin">
        <color rgb="FF212121"/>
      </bottom>
      <diagonal/>
    </border>
    <border>
      <left/>
      <right/>
      <top/>
      <bottom style="thin">
        <color rgb="FF212121"/>
      </bottom>
      <diagonal/>
    </border>
    <border>
      <left/>
      <right style="thin">
        <color rgb="FF212121"/>
      </right>
      <top/>
      <bottom style="thin">
        <color rgb="FF212121"/>
      </bottom>
      <diagonal/>
    </border>
  </borders>
  <cellStyleXfs count="2">
    <xf numFmtId="0" fontId="0" fillId="0" borderId="0"/>
    <xf numFmtId="0" fontId="4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2" fillId="2" borderId="2" xfId="0" applyFont="1" applyFill="1" applyBorder="1"/>
    <xf numFmtId="0" fontId="0" fillId="2" borderId="2" xfId="0" applyFill="1" applyBorder="1"/>
    <xf numFmtId="0" fontId="2" fillId="2" borderId="3" xfId="0" applyFont="1" applyFill="1" applyBorder="1"/>
    <xf numFmtId="0" fontId="0" fillId="2" borderId="4" xfId="0" applyFill="1" applyBorder="1"/>
    <xf numFmtId="0" fontId="2" fillId="2" borderId="0" xfId="0" applyFont="1" applyFill="1"/>
    <xf numFmtId="0" fontId="0" fillId="2" borderId="0" xfId="0" applyFill="1"/>
    <xf numFmtId="0" fontId="2" fillId="2" borderId="5" xfId="0" applyFont="1" applyFill="1" applyBorder="1"/>
    <xf numFmtId="0" fontId="2" fillId="2" borderId="4" xfId="0" applyFont="1" applyFill="1" applyBorder="1"/>
    <xf numFmtId="2" fontId="0" fillId="2" borderId="0" xfId="0" applyNumberFormat="1" applyFill="1"/>
    <xf numFmtId="0" fontId="2" fillId="2" borderId="7" xfId="0" applyFont="1" applyFill="1" applyBorder="1"/>
    <xf numFmtId="0" fontId="0" fillId="2" borderId="8" xfId="0" applyFill="1" applyBorder="1"/>
    <xf numFmtId="0" fontId="0" fillId="2" borderId="9" xfId="0" applyFill="1" applyBorder="1"/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3" fillId="0" borderId="0" xfId="0" applyFont="1"/>
    <xf numFmtId="0" fontId="0" fillId="3" borderId="0" xfId="1" applyFont="1" applyFill="1"/>
    <xf numFmtId="164" fontId="0" fillId="0" borderId="0" xfId="0" applyNumberFormat="1"/>
    <xf numFmtId="0" fontId="0" fillId="4" borderId="0" xfId="1" applyFont="1" applyFill="1"/>
    <xf numFmtId="0" fontId="0" fillId="0" borderId="0" xfId="1" applyFont="1"/>
    <xf numFmtId="0" fontId="0" fillId="0" borderId="0" xfId="0" applyAlignment="1">
      <alignment wrapText="1"/>
    </xf>
    <xf numFmtId="0" fontId="5" fillId="0" borderId="0" xfId="1" applyFont="1"/>
    <xf numFmtId="166" fontId="5" fillId="0" borderId="0" xfId="1" applyNumberFormat="1" applyFont="1"/>
    <xf numFmtId="167" fontId="5" fillId="0" borderId="0" xfId="1" applyNumberFormat="1" applyFont="1" applyAlignment="1">
      <alignment horizontal="right"/>
    </xf>
    <xf numFmtId="165" fontId="5" fillId="0" borderId="0" xfId="1" applyNumberFormat="1" applyFont="1"/>
    <xf numFmtId="168" fontId="0" fillId="0" borderId="0" xfId="0" applyNumberFormat="1"/>
    <xf numFmtId="168" fontId="5" fillId="0" borderId="0" xfId="1" applyNumberFormat="1" applyFont="1"/>
    <xf numFmtId="168" fontId="6" fillId="0" borderId="0" xfId="1" applyNumberFormat="1" applyFont="1"/>
    <xf numFmtId="165" fontId="0" fillId="0" borderId="0" xfId="0" applyNumberFormat="1"/>
    <xf numFmtId="0" fontId="7" fillId="0" borderId="0" xfId="0" applyFont="1"/>
    <xf numFmtId="2" fontId="7" fillId="0" borderId="0" xfId="0" applyNumberFormat="1" applyFont="1"/>
    <xf numFmtId="0" fontId="8" fillId="0" borderId="0" xfId="0" applyFont="1"/>
    <xf numFmtId="1" fontId="7" fillId="0" borderId="0" xfId="0" applyNumberFormat="1" applyFont="1"/>
    <xf numFmtId="169" fontId="7" fillId="0" borderId="0" xfId="0" applyNumberFormat="1" applyFont="1"/>
    <xf numFmtId="0" fontId="13" fillId="0" borderId="0" xfId="0" applyFon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18" fillId="0" borderId="0" xfId="0" applyNumberFormat="1" applyFont="1"/>
    <xf numFmtId="0" fontId="0" fillId="5" borderId="0" xfId="0" applyFill="1"/>
    <xf numFmtId="0" fontId="18" fillId="0" borderId="0" xfId="0" applyFont="1" applyAlignment="1">
      <alignment horizontal="right"/>
    </xf>
    <xf numFmtId="0" fontId="18" fillId="0" borderId="0" xfId="0" applyFont="1" applyAlignment="1">
      <alignment horizontal="left"/>
    </xf>
    <xf numFmtId="0" fontId="4" fillId="0" borderId="0" xfId="0" applyFont="1"/>
    <xf numFmtId="0" fontId="0" fillId="6" borderId="0" xfId="0" applyFill="1"/>
    <xf numFmtId="169" fontId="0" fillId="0" borderId="0" xfId="0" applyNumberFormat="1"/>
    <xf numFmtId="0" fontId="18" fillId="0" borderId="0" xfId="0" applyFont="1" applyAlignment="1">
      <alignment horizontal="right" vertical="center"/>
    </xf>
    <xf numFmtId="0" fontId="21" fillId="0" borderId="0" xfId="0" applyFont="1"/>
    <xf numFmtId="0" fontId="18" fillId="0" borderId="0" xfId="0" applyFont="1"/>
    <xf numFmtId="0" fontId="22" fillId="7" borderId="0" xfId="0" applyFont="1" applyFill="1"/>
    <xf numFmtId="0" fontId="23" fillId="7" borderId="0" xfId="0" applyFont="1" applyFill="1"/>
    <xf numFmtId="0" fontId="23" fillId="0" borderId="0" xfId="0" applyFont="1"/>
    <xf numFmtId="0" fontId="24" fillId="0" borderId="0" xfId="0" applyFont="1" applyAlignment="1">
      <alignment horizontal="center"/>
    </xf>
    <xf numFmtId="2" fontId="23" fillId="0" borderId="0" xfId="0" applyNumberFormat="1" applyFont="1"/>
    <xf numFmtId="0" fontId="23" fillId="8" borderId="0" xfId="0" applyFont="1" applyFill="1"/>
    <xf numFmtId="0" fontId="25" fillId="7" borderId="0" xfId="0" applyFont="1" applyFill="1"/>
    <xf numFmtId="2" fontId="25" fillId="7" borderId="0" xfId="0" applyNumberFormat="1" applyFont="1" applyFill="1"/>
    <xf numFmtId="0" fontId="26" fillId="0" borderId="0" xfId="0" applyFont="1"/>
    <xf numFmtId="0" fontId="27" fillId="0" borderId="0" xfId="0" applyFont="1"/>
    <xf numFmtId="0" fontId="1" fillId="2" borderId="6" xfId="0" applyFont="1" applyFill="1" applyBorder="1" applyAlignment="1">
      <alignment horizontal="center"/>
    </xf>
  </cellXfs>
  <cellStyles count="2">
    <cellStyle name="Normal" xfId="0" builtinId="0"/>
    <cellStyle name="Standard_Kalorimetrie" xfId="1" xr:uid="{B10AF45B-8AD5-4B81-9FCF-D9AFCC446A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0FE67-8520-4CC3-985F-F16157DDB7D3}">
  <dimension ref="A1:K191"/>
  <sheetViews>
    <sheetView workbookViewId="0"/>
  </sheetViews>
  <sheetFormatPr defaultRowHeight="14.25"/>
  <cols>
    <col min="1" max="11" width="11.125" customWidth="1"/>
  </cols>
  <sheetData>
    <row r="1" spans="1:11">
      <c r="A1" s="1" t="s">
        <v>3</v>
      </c>
      <c r="D1" s="2" t="s">
        <v>0</v>
      </c>
      <c r="G1" s="3"/>
      <c r="H1" s="4" t="s">
        <v>1</v>
      </c>
      <c r="I1" s="5"/>
      <c r="J1" s="5">
        <v>1413.7</v>
      </c>
      <c r="K1" s="6" t="s">
        <v>2</v>
      </c>
    </row>
    <row r="2" spans="1:11">
      <c r="A2" s="2" t="s">
        <v>5</v>
      </c>
      <c r="G2" s="7"/>
      <c r="H2" s="8" t="s">
        <v>4</v>
      </c>
      <c r="I2" s="9"/>
      <c r="J2" s="9">
        <v>1403.1</v>
      </c>
      <c r="K2" s="10" t="s">
        <v>2</v>
      </c>
    </row>
    <row r="3" spans="1:11">
      <c r="G3" s="7"/>
      <c r="H3" s="9"/>
      <c r="I3" s="9"/>
      <c r="J3" s="9"/>
      <c r="K3" s="10"/>
    </row>
    <row r="4" spans="1:11">
      <c r="A4" s="73" t="s">
        <v>6</v>
      </c>
      <c r="B4" s="73"/>
      <c r="C4" s="73"/>
      <c r="D4" s="73" t="s">
        <v>7</v>
      </c>
      <c r="E4" s="73"/>
      <c r="F4" s="73"/>
      <c r="G4" s="11" t="s">
        <v>8</v>
      </c>
      <c r="H4" s="9"/>
      <c r="I4" s="9"/>
      <c r="J4" s="12">
        <f>100*(J1-J2)/J2</f>
        <v>0.75547003064643559</v>
      </c>
      <c r="K4" s="10" t="s">
        <v>9</v>
      </c>
    </row>
    <row r="5" spans="1:11">
      <c r="A5" s="7"/>
      <c r="B5" s="9"/>
      <c r="C5" s="10"/>
      <c r="D5" s="7"/>
      <c r="E5" s="9"/>
      <c r="F5" s="10"/>
      <c r="G5" s="13" t="s">
        <v>10</v>
      </c>
      <c r="H5" s="14"/>
      <c r="I5" s="14"/>
      <c r="J5" s="14"/>
      <c r="K5" s="15"/>
    </row>
    <row r="6" spans="1:11">
      <c r="A6" s="11" t="s">
        <v>13</v>
      </c>
      <c r="B6" s="16" t="s">
        <v>11</v>
      </c>
      <c r="C6" s="17" t="s">
        <v>12</v>
      </c>
      <c r="D6" s="7"/>
      <c r="E6" s="9"/>
      <c r="F6" s="10"/>
    </row>
    <row r="7" spans="1:11">
      <c r="A7" s="7"/>
      <c r="B7" s="16">
        <v>1456.5</v>
      </c>
      <c r="C7" s="17">
        <v>10.199999999999999</v>
      </c>
      <c r="D7" s="7"/>
      <c r="E7" s="9"/>
      <c r="F7" s="10"/>
    </row>
    <row r="8" spans="1:11">
      <c r="A8" s="7"/>
      <c r="B8" s="9"/>
      <c r="C8" s="10"/>
      <c r="D8" s="7"/>
      <c r="E8" s="9"/>
      <c r="F8" s="10"/>
    </row>
    <row r="9" spans="1:11">
      <c r="A9" s="18" t="s">
        <v>14</v>
      </c>
      <c r="B9" s="19" t="s">
        <v>15</v>
      </c>
      <c r="C9" s="10" t="s">
        <v>16</v>
      </c>
      <c r="D9" s="18" t="s">
        <v>14</v>
      </c>
      <c r="E9" s="19" t="s">
        <v>15</v>
      </c>
      <c r="F9" s="10" t="s">
        <v>16</v>
      </c>
    </row>
    <row r="10" spans="1:11">
      <c r="A10" s="20" t="s">
        <v>17</v>
      </c>
      <c r="B10" s="21" t="s">
        <v>2</v>
      </c>
      <c r="C10" s="22" t="s">
        <v>2</v>
      </c>
      <c r="D10" s="20" t="s">
        <v>17</v>
      </c>
      <c r="E10" s="21" t="s">
        <v>2</v>
      </c>
      <c r="F10" s="15"/>
    </row>
    <row r="11" spans="1:11">
      <c r="A11" s="23"/>
      <c r="B11" s="24"/>
      <c r="C11" s="25"/>
      <c r="D11" s="23"/>
      <c r="E11" s="24"/>
      <c r="F11" s="25"/>
    </row>
    <row r="12" spans="1:11">
      <c r="A12" s="26">
        <v>2.1921300000000001</v>
      </c>
      <c r="B12">
        <v>0.78329099999999996</v>
      </c>
      <c r="C12" s="27">
        <v>5.3852400000000003E-3</v>
      </c>
      <c r="D12" s="26">
        <v>280.22000000000003</v>
      </c>
      <c r="E12">
        <v>1379.7</v>
      </c>
      <c r="F12" s="27">
        <v>10.6416</v>
      </c>
    </row>
    <row r="13" spans="1:11">
      <c r="A13" s="26">
        <v>2.2145199999999998</v>
      </c>
      <c r="B13">
        <v>0.77515599999999996</v>
      </c>
      <c r="C13" s="27">
        <v>6.76182E-3</v>
      </c>
      <c r="D13" s="26">
        <v>280.387</v>
      </c>
      <c r="E13">
        <v>1380.42</v>
      </c>
      <c r="F13" s="27">
        <v>10.2407</v>
      </c>
    </row>
    <row r="14" spans="1:11">
      <c r="A14" s="26">
        <v>2.2148400000000001</v>
      </c>
      <c r="B14">
        <v>0.776223</v>
      </c>
      <c r="C14" s="27">
        <v>6.1440399999999999E-3</v>
      </c>
      <c r="D14" s="26">
        <v>280.553</v>
      </c>
      <c r="E14">
        <v>1381.16</v>
      </c>
      <c r="F14" s="27">
        <v>10.1309</v>
      </c>
    </row>
    <row r="15" spans="1:11">
      <c r="A15" s="26">
        <v>2.3835099999999998</v>
      </c>
      <c r="B15">
        <v>0.71206199999999997</v>
      </c>
      <c r="C15" s="27">
        <v>4.28919E-3</v>
      </c>
      <c r="D15" s="26">
        <v>280.72000000000003</v>
      </c>
      <c r="E15">
        <v>1382.16</v>
      </c>
      <c r="F15" s="27">
        <v>10.391500000000001</v>
      </c>
    </row>
    <row r="16" spans="1:11">
      <c r="A16" s="26">
        <v>2.4028</v>
      </c>
      <c r="B16">
        <v>0.70806500000000006</v>
      </c>
      <c r="C16" s="27">
        <v>4.8462499999999999E-3</v>
      </c>
      <c r="D16" s="26">
        <v>280.88299999999998</v>
      </c>
      <c r="E16">
        <v>1382.99</v>
      </c>
      <c r="F16" s="27">
        <v>10.326000000000001</v>
      </c>
    </row>
    <row r="17" spans="1:6">
      <c r="A17" s="26">
        <v>2.4032499999999999</v>
      </c>
      <c r="B17">
        <v>0.70859499999999997</v>
      </c>
      <c r="C17" s="27">
        <v>4.7979099999999998E-3</v>
      </c>
      <c r="D17" s="26">
        <v>281.05</v>
      </c>
      <c r="E17">
        <v>1384.03</v>
      </c>
      <c r="F17" s="27">
        <v>10.051500000000001</v>
      </c>
    </row>
    <row r="18" spans="1:6">
      <c r="A18" s="26">
        <v>2.5924</v>
      </c>
      <c r="B18">
        <v>0.65742199999999995</v>
      </c>
      <c r="C18" s="27">
        <v>3.6657899999999999E-3</v>
      </c>
      <c r="D18" s="26">
        <v>281.20999999999998</v>
      </c>
      <c r="E18">
        <v>1384.9</v>
      </c>
      <c r="F18" s="27">
        <v>9.4811499999999995</v>
      </c>
    </row>
    <row r="19" spans="1:6">
      <c r="A19" s="26">
        <v>2.6096699999999999</v>
      </c>
      <c r="B19">
        <v>0.65375499999999998</v>
      </c>
      <c r="C19" s="27">
        <v>3.7587800000000002E-3</v>
      </c>
      <c r="D19" s="26">
        <v>281.37700000000001</v>
      </c>
      <c r="E19">
        <v>1385.77</v>
      </c>
      <c r="F19" s="27">
        <v>9.2191500000000008</v>
      </c>
    </row>
    <row r="20" spans="1:6">
      <c r="A20" s="26">
        <v>2.6099299999999999</v>
      </c>
      <c r="B20">
        <v>0.65352699999999997</v>
      </c>
      <c r="C20" s="27">
        <v>3.8074099999999998E-3</v>
      </c>
      <c r="D20" s="26">
        <v>281.54700000000003</v>
      </c>
      <c r="E20">
        <v>1386.68</v>
      </c>
      <c r="F20" s="27">
        <v>9.0991300000000006</v>
      </c>
    </row>
    <row r="21" spans="1:6">
      <c r="A21" s="26">
        <v>2.8204400000000001</v>
      </c>
      <c r="B21">
        <v>0.61227699999999996</v>
      </c>
      <c r="C21" s="27">
        <v>2.8645300000000001E-3</v>
      </c>
      <c r="D21" s="26">
        <v>281.70999999999998</v>
      </c>
      <c r="E21">
        <v>1387.39</v>
      </c>
      <c r="F21" s="27">
        <v>9.48705</v>
      </c>
    </row>
    <row r="22" spans="1:6">
      <c r="A22" s="26">
        <v>2.8341400000000001</v>
      </c>
      <c r="B22">
        <v>0.60932399999999998</v>
      </c>
      <c r="C22" s="27">
        <v>2.9405999999999998E-3</v>
      </c>
      <c r="D22" s="26">
        <v>281.87700000000001</v>
      </c>
      <c r="E22">
        <v>1388.15</v>
      </c>
      <c r="F22" s="27">
        <v>9.69998</v>
      </c>
    </row>
    <row r="23" spans="1:6">
      <c r="A23" s="26">
        <v>2.8345099999999999</v>
      </c>
      <c r="B23">
        <v>0.61126999999999998</v>
      </c>
      <c r="C23" s="27">
        <v>3.0257299999999999E-3</v>
      </c>
      <c r="D23" s="26">
        <v>282.04300000000001</v>
      </c>
      <c r="E23">
        <v>1388.7</v>
      </c>
      <c r="F23" s="27">
        <v>9.2963400000000007</v>
      </c>
    </row>
    <row r="24" spans="1:6">
      <c r="A24" s="26">
        <v>3.0667800000000001</v>
      </c>
      <c r="B24">
        <v>0.59044099999999999</v>
      </c>
      <c r="C24" s="27">
        <v>2.4452599999999999E-3</v>
      </c>
      <c r="D24" s="26">
        <v>282.20699999999999</v>
      </c>
      <c r="E24">
        <v>1389.28</v>
      </c>
      <c r="F24" s="27">
        <v>9.2875800000000002</v>
      </c>
    </row>
    <row r="25" spans="1:6">
      <c r="A25" s="26">
        <v>3.0787800000000001</v>
      </c>
      <c r="B25">
        <v>0.58863399999999999</v>
      </c>
      <c r="C25" s="27">
        <v>2.4262300000000001E-3</v>
      </c>
      <c r="D25" s="26">
        <v>282.37</v>
      </c>
      <c r="E25">
        <v>1390.33</v>
      </c>
      <c r="F25" s="27">
        <v>9.3435100000000002</v>
      </c>
    </row>
    <row r="26" spans="1:6">
      <c r="A26" s="26">
        <v>3.0806800000000001</v>
      </c>
      <c r="B26">
        <v>0.58827099999999999</v>
      </c>
      <c r="C26" s="27">
        <v>2.4623000000000002E-3</v>
      </c>
      <c r="D26" s="26">
        <v>282.53699999999998</v>
      </c>
      <c r="E26">
        <v>1391.58</v>
      </c>
      <c r="F26" s="27">
        <v>9.0173500000000004</v>
      </c>
    </row>
    <row r="27" spans="1:6">
      <c r="A27" s="26">
        <v>3.3441299999999998</v>
      </c>
      <c r="B27">
        <v>0.58587400000000001</v>
      </c>
      <c r="C27" s="27">
        <v>2.3961400000000002E-3</v>
      </c>
      <c r="D27" s="26">
        <v>282.70699999999999</v>
      </c>
      <c r="E27">
        <v>1392.69</v>
      </c>
      <c r="F27" s="27">
        <v>8.7546900000000001</v>
      </c>
    </row>
    <row r="28" spans="1:6">
      <c r="A28" s="26">
        <v>3.3503699999999998</v>
      </c>
      <c r="B28">
        <v>0.58864799999999995</v>
      </c>
      <c r="C28" s="27">
        <v>2.1834200000000002E-3</v>
      </c>
      <c r="D28" s="26">
        <v>282.86700000000002</v>
      </c>
      <c r="E28">
        <v>1393.45</v>
      </c>
      <c r="F28" s="27">
        <v>8.6417400000000004</v>
      </c>
    </row>
    <row r="29" spans="1:6">
      <c r="A29" s="26">
        <v>3.3534199999999998</v>
      </c>
      <c r="B29">
        <v>0.58650500000000005</v>
      </c>
      <c r="C29" s="27">
        <v>2.3475800000000002E-3</v>
      </c>
      <c r="D29" s="26">
        <v>283.03699999999998</v>
      </c>
      <c r="E29">
        <v>1393.94</v>
      </c>
      <c r="F29" s="27">
        <v>8.9716900000000006</v>
      </c>
    </row>
    <row r="30" spans="1:6">
      <c r="A30" s="26">
        <v>3.6397400000000002</v>
      </c>
      <c r="B30">
        <v>0.609456</v>
      </c>
      <c r="C30" s="27">
        <v>2.1627700000000001E-3</v>
      </c>
      <c r="D30" s="26">
        <v>283.2</v>
      </c>
      <c r="E30">
        <v>1394.46</v>
      </c>
      <c r="F30" s="27">
        <v>9.0306700000000006</v>
      </c>
    </row>
    <row r="31" spans="1:6">
      <c r="A31" s="26">
        <v>3.64209</v>
      </c>
      <c r="B31">
        <v>0.613479</v>
      </c>
      <c r="C31" s="27">
        <v>2.2280999999999998E-3</v>
      </c>
      <c r="D31" s="26">
        <v>283.36700000000002</v>
      </c>
      <c r="E31">
        <v>1395.08</v>
      </c>
      <c r="F31" s="27">
        <v>9.2190499999999993</v>
      </c>
    </row>
    <row r="32" spans="1:6">
      <c r="A32" s="26">
        <v>3.6443300000000001</v>
      </c>
      <c r="B32">
        <v>0.61135099999999998</v>
      </c>
      <c r="C32" s="27">
        <v>2.0975899999999999E-3</v>
      </c>
      <c r="D32" s="26">
        <v>283.52999999999997</v>
      </c>
      <c r="E32">
        <v>1395.83</v>
      </c>
      <c r="F32" s="27">
        <v>9.0881500000000006</v>
      </c>
    </row>
    <row r="33" spans="1:6">
      <c r="A33" s="26">
        <v>3.9605999999999999</v>
      </c>
      <c r="B33">
        <v>0.67008699999999999</v>
      </c>
      <c r="C33" s="27">
        <v>2.3250300000000001E-3</v>
      </c>
      <c r="D33" s="26">
        <v>283.697</v>
      </c>
      <c r="E33">
        <v>1396.8</v>
      </c>
      <c r="F33" s="27">
        <v>8.4433199999999999</v>
      </c>
    </row>
    <row r="34" spans="1:6">
      <c r="A34" s="26">
        <v>3.9610599999999998</v>
      </c>
      <c r="B34">
        <v>0.670875</v>
      </c>
      <c r="C34" s="27">
        <v>2.32921E-3</v>
      </c>
      <c r="D34" s="26">
        <v>283.863</v>
      </c>
      <c r="E34">
        <v>1397.57</v>
      </c>
      <c r="F34" s="27">
        <v>8.4676299999999998</v>
      </c>
    </row>
    <row r="35" spans="1:6">
      <c r="A35" s="26">
        <v>3.9624600000000001</v>
      </c>
      <c r="B35">
        <v>0.67376000000000003</v>
      </c>
      <c r="C35" s="27">
        <v>2.3119E-3</v>
      </c>
      <c r="D35" s="26">
        <v>284.02999999999997</v>
      </c>
      <c r="E35">
        <v>1398.65</v>
      </c>
      <c r="F35" s="27">
        <v>8.5650700000000004</v>
      </c>
    </row>
    <row r="36" spans="1:6">
      <c r="A36" s="26">
        <v>4.3102400000000003</v>
      </c>
      <c r="B36">
        <v>0.78317400000000004</v>
      </c>
      <c r="C36" s="27">
        <v>2.8985299999999999E-3</v>
      </c>
      <c r="D36" s="26">
        <v>284.197</v>
      </c>
      <c r="E36">
        <v>1399.58</v>
      </c>
      <c r="F36" s="27">
        <v>9.0100599999999993</v>
      </c>
    </row>
    <row r="37" spans="1:6">
      <c r="A37" s="26">
        <v>4.3127500000000003</v>
      </c>
      <c r="B37">
        <v>0.78697300000000003</v>
      </c>
      <c r="C37" s="27">
        <v>2.8536299999999998E-3</v>
      </c>
      <c r="D37" s="26">
        <v>284.36700000000002</v>
      </c>
      <c r="E37">
        <v>1400.26</v>
      </c>
      <c r="F37" s="27">
        <v>8.8798200000000005</v>
      </c>
    </row>
    <row r="38" spans="1:6">
      <c r="A38" s="26">
        <v>4.3134300000000003</v>
      </c>
      <c r="B38">
        <v>0.78589200000000003</v>
      </c>
      <c r="C38" s="27">
        <v>3.0485899999999999E-3</v>
      </c>
      <c r="D38" s="26">
        <v>284.52999999999997</v>
      </c>
      <c r="E38">
        <v>1401.1</v>
      </c>
      <c r="F38" s="27">
        <v>8.7883899999999997</v>
      </c>
    </row>
    <row r="39" spans="1:6">
      <c r="A39" s="26">
        <v>4.6934899999999997</v>
      </c>
      <c r="B39">
        <v>0.96978699999999995</v>
      </c>
      <c r="C39" s="27">
        <v>3.8170000000000001E-3</v>
      </c>
      <c r="D39" s="26">
        <v>284.69</v>
      </c>
      <c r="E39">
        <v>1401.36</v>
      </c>
      <c r="F39" s="27">
        <v>9.11</v>
      </c>
    </row>
    <row r="40" spans="1:6">
      <c r="A40" s="26">
        <v>4.6965700000000004</v>
      </c>
      <c r="B40">
        <v>0.96490500000000001</v>
      </c>
      <c r="C40" s="27">
        <v>3.6559700000000001E-3</v>
      </c>
      <c r="D40" s="26">
        <v>284.85700000000003</v>
      </c>
      <c r="E40">
        <v>1402.03</v>
      </c>
      <c r="F40" s="27">
        <v>9.8116299999999992</v>
      </c>
    </row>
    <row r="41" spans="1:6">
      <c r="A41" s="26">
        <v>4.6996099999999998</v>
      </c>
      <c r="B41">
        <v>0.96758500000000003</v>
      </c>
      <c r="C41" s="27">
        <v>4.08983E-3</v>
      </c>
      <c r="D41" s="26">
        <v>285.02300000000002</v>
      </c>
      <c r="E41">
        <v>1403.3</v>
      </c>
      <c r="F41" s="27">
        <v>9.6187500000000004</v>
      </c>
    </row>
    <row r="42" spans="1:6">
      <c r="A42" s="26">
        <v>5.1128999999999998</v>
      </c>
      <c r="B42">
        <v>1.27528</v>
      </c>
      <c r="C42" s="27">
        <v>4.8271700000000004E-3</v>
      </c>
      <c r="D42" s="26">
        <v>285.18700000000001</v>
      </c>
      <c r="E42">
        <v>1404.32</v>
      </c>
      <c r="F42" s="27">
        <v>9.1225400000000008</v>
      </c>
    </row>
    <row r="43" spans="1:6">
      <c r="A43" s="26">
        <v>5.1173900000000003</v>
      </c>
      <c r="B43">
        <v>1.2713099999999999</v>
      </c>
      <c r="C43" s="27">
        <v>5.2609299999999996E-3</v>
      </c>
      <c r="D43" s="26">
        <v>285.35700000000003</v>
      </c>
      <c r="E43">
        <v>1405.43</v>
      </c>
      <c r="F43" s="27">
        <v>8.87059</v>
      </c>
    </row>
    <row r="44" spans="1:6">
      <c r="A44" s="26">
        <v>5.1220800000000004</v>
      </c>
      <c r="B44">
        <v>1.2717799999999999</v>
      </c>
      <c r="C44" s="27">
        <v>5.6016399999999997E-3</v>
      </c>
      <c r="D44" s="26">
        <v>285.52</v>
      </c>
      <c r="E44">
        <v>1406.13</v>
      </c>
      <c r="F44" s="27">
        <v>8.4779800000000005</v>
      </c>
    </row>
    <row r="45" spans="1:6">
      <c r="A45" s="26">
        <v>5.5745100000000001</v>
      </c>
      <c r="B45">
        <v>1.7402500000000001</v>
      </c>
      <c r="C45" s="27">
        <v>6.3149499999999997E-3</v>
      </c>
      <c r="D45" s="26">
        <v>285.68700000000001</v>
      </c>
      <c r="E45">
        <v>1407.42</v>
      </c>
      <c r="F45" s="27">
        <v>8.3140599999999996</v>
      </c>
    </row>
    <row r="46" spans="1:6">
      <c r="A46" s="26">
        <v>5.5781499999999999</v>
      </c>
      <c r="B46">
        <v>1.7435799999999999</v>
      </c>
      <c r="C46" s="27">
        <v>6.6039200000000001E-3</v>
      </c>
      <c r="D46" s="26">
        <v>285.85000000000002</v>
      </c>
      <c r="E46">
        <v>1408.31</v>
      </c>
      <c r="F46" s="27">
        <v>8.3018199999999993</v>
      </c>
    </row>
    <row r="47" spans="1:6">
      <c r="A47" s="26">
        <v>5.5816299999999996</v>
      </c>
      <c r="B47">
        <v>1.7400800000000001</v>
      </c>
      <c r="C47" s="27">
        <v>7.3922900000000001E-3</v>
      </c>
      <c r="D47" s="26">
        <v>286.01299999999998</v>
      </c>
      <c r="E47">
        <v>1409.01</v>
      </c>
      <c r="F47" s="27">
        <v>8.1592500000000001</v>
      </c>
    </row>
    <row r="48" spans="1:6">
      <c r="A48" s="26">
        <v>6.0807700000000002</v>
      </c>
      <c r="B48">
        <v>2.4234200000000001</v>
      </c>
      <c r="C48" s="27">
        <v>9.6997999999999997E-3</v>
      </c>
      <c r="D48" s="26">
        <v>286.18</v>
      </c>
      <c r="E48">
        <v>1409.73</v>
      </c>
      <c r="F48" s="27">
        <v>8.5975000000000001</v>
      </c>
    </row>
    <row r="49" spans="1:6">
      <c r="A49" s="26">
        <v>6.0844500000000004</v>
      </c>
      <c r="B49">
        <v>2.4253900000000002</v>
      </c>
      <c r="C49" s="27">
        <v>8.5357000000000002E-3</v>
      </c>
      <c r="D49" s="26">
        <v>286.34699999999998</v>
      </c>
      <c r="E49">
        <v>1410.73</v>
      </c>
      <c r="F49" s="27">
        <v>8.8577999999999992</v>
      </c>
    </row>
    <row r="50" spans="1:6">
      <c r="A50" s="26">
        <v>6.0880799999999997</v>
      </c>
      <c r="B50">
        <v>2.4284500000000002</v>
      </c>
      <c r="C50" s="27">
        <v>1.02118E-2</v>
      </c>
      <c r="D50" s="26">
        <v>286.51299999999998</v>
      </c>
      <c r="E50">
        <v>1411.77</v>
      </c>
      <c r="F50" s="27">
        <v>9.2880599999999998</v>
      </c>
    </row>
    <row r="51" spans="1:6">
      <c r="A51" s="26">
        <v>6.6530100000000001</v>
      </c>
      <c r="B51">
        <v>3.4112499999999999</v>
      </c>
      <c r="C51" s="27">
        <v>1.23956E-2</v>
      </c>
      <c r="D51" s="26">
        <v>286.67700000000002</v>
      </c>
      <c r="E51">
        <v>1412.91</v>
      </c>
      <c r="F51" s="27">
        <v>9.516</v>
      </c>
    </row>
    <row r="52" spans="1:6">
      <c r="A52" s="26">
        <v>6.6624999999999996</v>
      </c>
      <c r="B52">
        <v>3.5817399999999999</v>
      </c>
      <c r="C52" s="27">
        <v>1.38967E-2</v>
      </c>
      <c r="D52" s="26">
        <v>286.84699999999998</v>
      </c>
      <c r="E52">
        <v>1413.74</v>
      </c>
      <c r="F52" s="27">
        <v>9.3308099999999996</v>
      </c>
    </row>
    <row r="53" spans="1:6">
      <c r="A53" s="26">
        <v>6.6826100000000004</v>
      </c>
      <c r="B53">
        <v>3.3098900000000002</v>
      </c>
      <c r="C53" s="27">
        <v>2.1711899999999999E-2</v>
      </c>
      <c r="D53" s="26">
        <v>287.01</v>
      </c>
      <c r="E53">
        <v>1414.51</v>
      </c>
      <c r="F53" s="27">
        <v>8.8034999999999997</v>
      </c>
    </row>
    <row r="54" spans="1:6">
      <c r="A54" s="26">
        <v>7.2446299999999999</v>
      </c>
      <c r="B54">
        <v>4.7528899999999998</v>
      </c>
      <c r="C54" s="27">
        <v>1.6251499999999999E-2</v>
      </c>
      <c r="D54" s="26">
        <v>287.17700000000002</v>
      </c>
      <c r="E54">
        <v>1415.18</v>
      </c>
      <c r="F54" s="27">
        <v>8.3774099999999994</v>
      </c>
    </row>
    <row r="55" spans="1:6">
      <c r="A55" s="26">
        <v>7.2482499999999996</v>
      </c>
      <c r="B55">
        <v>4.7536100000000001</v>
      </c>
      <c r="C55" s="27">
        <v>1.5944699999999999E-2</v>
      </c>
      <c r="D55" s="26">
        <v>287.33999999999997</v>
      </c>
      <c r="E55">
        <v>1416.3</v>
      </c>
      <c r="F55" s="27">
        <v>8.6561599999999999</v>
      </c>
    </row>
    <row r="56" spans="1:6">
      <c r="A56" s="26">
        <v>7.2492799999999997</v>
      </c>
      <c r="B56">
        <v>4.7617500000000001</v>
      </c>
      <c r="C56" s="27">
        <v>1.70984E-2</v>
      </c>
      <c r="D56" s="26">
        <v>287.50700000000001</v>
      </c>
      <c r="E56">
        <v>1417.82</v>
      </c>
      <c r="F56" s="27">
        <v>8.8027099999999994</v>
      </c>
    </row>
    <row r="57" spans="1:6">
      <c r="A57" s="26">
        <v>7.9068800000000001</v>
      </c>
      <c r="B57">
        <v>6.5255700000000001</v>
      </c>
      <c r="C57" s="27">
        <v>2.02887E-2</v>
      </c>
      <c r="D57" s="26">
        <v>287.67</v>
      </c>
      <c r="E57">
        <v>1418.44</v>
      </c>
      <c r="F57" s="27">
        <v>8.7587899999999994</v>
      </c>
    </row>
    <row r="58" spans="1:6">
      <c r="A58" s="26">
        <v>7.9104099999999997</v>
      </c>
      <c r="B58">
        <v>6.5297499999999999</v>
      </c>
      <c r="C58" s="27">
        <v>2.2879400000000001E-2</v>
      </c>
      <c r="D58" s="26">
        <v>287.83699999999999</v>
      </c>
      <c r="E58">
        <v>1419.36</v>
      </c>
      <c r="F58" s="27">
        <v>8.7507199999999994</v>
      </c>
    </row>
    <row r="59" spans="1:6">
      <c r="A59" s="26">
        <v>7.9109100000000003</v>
      </c>
      <c r="B59">
        <v>6.4832700000000001</v>
      </c>
      <c r="C59" s="27">
        <v>2.0318699999999999E-2</v>
      </c>
      <c r="D59" s="26">
        <v>288.00299999999999</v>
      </c>
      <c r="E59">
        <v>1420.04</v>
      </c>
      <c r="F59" s="27">
        <v>8.8911499999999997</v>
      </c>
    </row>
    <row r="60" spans="1:6">
      <c r="A60" s="26">
        <v>8.6312499999999996</v>
      </c>
      <c r="B60">
        <v>8.7068600000000007</v>
      </c>
      <c r="C60" s="27">
        <v>2.5232899999999999E-2</v>
      </c>
      <c r="D60" s="30">
        <v>288.16699999999997</v>
      </c>
      <c r="E60" s="28">
        <v>1421.18</v>
      </c>
      <c r="F60" s="29">
        <v>8.8713999999999995</v>
      </c>
    </row>
    <row r="61" spans="1:6">
      <c r="A61" s="26">
        <v>8.6336499999999994</v>
      </c>
      <c r="B61">
        <v>8.7062000000000008</v>
      </c>
      <c r="C61" s="27">
        <v>2.55505E-2</v>
      </c>
    </row>
    <row r="62" spans="1:6">
      <c r="A62" s="26">
        <v>8.6343800000000002</v>
      </c>
      <c r="B62">
        <v>8.7454800000000006</v>
      </c>
      <c r="C62" s="27">
        <v>2.6562599999999999E-2</v>
      </c>
    </row>
    <row r="63" spans="1:6">
      <c r="A63" s="26">
        <v>9.4232800000000001</v>
      </c>
      <c r="B63">
        <v>11.4802</v>
      </c>
      <c r="C63" s="27">
        <v>3.21713E-2</v>
      </c>
    </row>
    <row r="64" spans="1:6">
      <c r="A64" s="26">
        <v>9.4241299999999999</v>
      </c>
      <c r="B64">
        <v>11.519500000000001</v>
      </c>
      <c r="C64" s="27">
        <v>3.3864999999999999E-2</v>
      </c>
    </row>
    <row r="65" spans="1:3">
      <c r="A65" s="26">
        <v>9.4263899999999996</v>
      </c>
      <c r="B65">
        <v>11.443</v>
      </c>
      <c r="C65" s="27">
        <v>3.22075E-2</v>
      </c>
    </row>
    <row r="66" spans="1:3">
      <c r="A66" s="26">
        <v>10.286899999999999</v>
      </c>
      <c r="B66">
        <v>14.852600000000001</v>
      </c>
      <c r="C66" s="27">
        <v>4.3903400000000002E-2</v>
      </c>
    </row>
    <row r="67" spans="1:3">
      <c r="A67" s="26">
        <v>10.288500000000001</v>
      </c>
      <c r="B67">
        <v>14.760300000000001</v>
      </c>
      <c r="C67" s="27">
        <v>3.8859600000000001E-2</v>
      </c>
    </row>
    <row r="68" spans="1:3">
      <c r="A68" s="26">
        <v>10.290100000000001</v>
      </c>
      <c r="B68">
        <v>14.733599999999999</v>
      </c>
      <c r="C68" s="27">
        <v>4.0193199999999998E-2</v>
      </c>
    </row>
    <row r="69" spans="1:3">
      <c r="A69" s="26">
        <v>11.2323</v>
      </c>
      <c r="B69">
        <v>18.765999999999998</v>
      </c>
      <c r="C69" s="27">
        <v>5.3283799999999999E-2</v>
      </c>
    </row>
    <row r="70" spans="1:3">
      <c r="A70" s="26">
        <v>11.2354</v>
      </c>
      <c r="B70">
        <v>18.580500000000001</v>
      </c>
      <c r="C70" s="27">
        <v>4.8320099999999998E-2</v>
      </c>
    </row>
    <row r="71" spans="1:3">
      <c r="A71" s="26">
        <v>11.236700000000001</v>
      </c>
      <c r="B71">
        <v>18.521899999999999</v>
      </c>
      <c r="C71" s="27">
        <v>4.8319000000000001E-2</v>
      </c>
    </row>
    <row r="72" spans="1:3">
      <c r="A72" s="26">
        <v>12.2689</v>
      </c>
      <c r="B72">
        <v>22.991299999999999</v>
      </c>
      <c r="C72" s="27">
        <v>6.3336100000000006E-2</v>
      </c>
    </row>
    <row r="73" spans="1:3">
      <c r="A73" s="26">
        <v>12.270099999999999</v>
      </c>
      <c r="B73">
        <v>22.845600000000001</v>
      </c>
      <c r="C73" s="27">
        <v>5.9386000000000001E-2</v>
      </c>
    </row>
    <row r="74" spans="1:3">
      <c r="A74" s="26">
        <v>12.2706</v>
      </c>
      <c r="B74">
        <v>22.8565</v>
      </c>
      <c r="C74" s="27">
        <v>5.7210900000000002E-2</v>
      </c>
    </row>
    <row r="75" spans="1:3">
      <c r="A75" s="26">
        <v>13.396800000000001</v>
      </c>
      <c r="B75">
        <v>27.905200000000001</v>
      </c>
      <c r="C75" s="27">
        <v>7.6607599999999998E-2</v>
      </c>
    </row>
    <row r="76" spans="1:3">
      <c r="A76" s="26">
        <v>13.4002</v>
      </c>
      <c r="B76">
        <v>27.540099999999999</v>
      </c>
      <c r="C76" s="27">
        <v>6.9103899999999996E-2</v>
      </c>
    </row>
    <row r="77" spans="1:3">
      <c r="A77" s="26">
        <v>13.4016</v>
      </c>
      <c r="B77">
        <v>27.611000000000001</v>
      </c>
      <c r="C77" s="27">
        <v>6.9953500000000002E-2</v>
      </c>
    </row>
    <row r="78" spans="1:3">
      <c r="A78" s="26">
        <v>14.6333</v>
      </c>
      <c r="B78">
        <v>33.301400000000001</v>
      </c>
      <c r="C78" s="27">
        <v>8.6925199999999994E-2</v>
      </c>
    </row>
    <row r="79" spans="1:3">
      <c r="A79" s="26">
        <v>14.6378</v>
      </c>
      <c r="B79">
        <v>32.896900000000002</v>
      </c>
      <c r="C79" s="27">
        <v>7.9217899999999994E-2</v>
      </c>
    </row>
    <row r="80" spans="1:3">
      <c r="A80" s="26">
        <v>14.639799999999999</v>
      </c>
      <c r="B80">
        <v>32.907499999999999</v>
      </c>
      <c r="C80" s="27">
        <v>7.9089000000000007E-2</v>
      </c>
    </row>
    <row r="81" spans="1:3">
      <c r="A81" s="26">
        <v>15.9831</v>
      </c>
      <c r="B81">
        <v>38.946300000000001</v>
      </c>
      <c r="C81" s="27">
        <v>9.7445699999999996E-2</v>
      </c>
    </row>
    <row r="82" spans="1:3">
      <c r="A82" s="26">
        <v>15.9877</v>
      </c>
      <c r="B82">
        <v>39.369799999999998</v>
      </c>
      <c r="C82" s="27">
        <v>9.9890099999999996E-2</v>
      </c>
    </row>
    <row r="83" spans="1:3">
      <c r="A83" s="26">
        <v>15.991300000000001</v>
      </c>
      <c r="B83">
        <v>38.815600000000003</v>
      </c>
      <c r="C83" s="27">
        <v>9.8858799999999997E-2</v>
      </c>
    </row>
    <row r="84" spans="1:3">
      <c r="A84" s="26">
        <v>17.457899999999999</v>
      </c>
      <c r="B84">
        <v>45.661200000000001</v>
      </c>
      <c r="C84" s="27">
        <v>0.110107</v>
      </c>
    </row>
    <row r="85" spans="1:3">
      <c r="A85" s="26">
        <v>17.459599999999998</v>
      </c>
      <c r="B85">
        <v>46.101399999999998</v>
      </c>
      <c r="C85" s="27">
        <v>0.12144199999999999</v>
      </c>
    </row>
    <row r="86" spans="1:3">
      <c r="A86" s="26">
        <v>17.4621</v>
      </c>
      <c r="B86">
        <v>45.652799999999999</v>
      </c>
      <c r="C86" s="27">
        <v>0.11289399999999999</v>
      </c>
    </row>
    <row r="87" spans="1:3">
      <c r="A87" s="26">
        <v>19.063500000000001</v>
      </c>
      <c r="B87">
        <v>53.235999999999997</v>
      </c>
      <c r="C87" s="27">
        <v>0.13164400000000001</v>
      </c>
    </row>
    <row r="88" spans="1:3">
      <c r="A88" s="26">
        <v>19.067900000000002</v>
      </c>
      <c r="B88">
        <v>54.0625</v>
      </c>
      <c r="C88" s="27">
        <v>0.14034199999999999</v>
      </c>
    </row>
    <row r="89" spans="1:3">
      <c r="A89" s="26">
        <v>19.070399999999999</v>
      </c>
      <c r="B89">
        <v>53.273000000000003</v>
      </c>
      <c r="C89" s="27">
        <v>0.12929599999999999</v>
      </c>
    </row>
    <row r="90" spans="1:3">
      <c r="A90" s="26">
        <v>20.818200000000001</v>
      </c>
      <c r="B90">
        <v>62.195599999999999</v>
      </c>
      <c r="C90" s="27">
        <v>0.15343200000000001</v>
      </c>
    </row>
    <row r="91" spans="1:3">
      <c r="A91" s="26">
        <v>20.820699999999999</v>
      </c>
      <c r="B91">
        <v>62.086500000000001</v>
      </c>
      <c r="C91" s="27">
        <v>0.15549199999999999</v>
      </c>
    </row>
    <row r="92" spans="1:3">
      <c r="A92" s="26">
        <v>20.832000000000001</v>
      </c>
      <c r="B92">
        <v>62.080599999999997</v>
      </c>
      <c r="C92" s="27">
        <v>0.159446</v>
      </c>
    </row>
    <row r="93" spans="1:3">
      <c r="A93" s="26">
        <v>22.737500000000001</v>
      </c>
      <c r="B93">
        <v>72.074600000000004</v>
      </c>
      <c r="C93" s="27">
        <v>0.181366</v>
      </c>
    </row>
    <row r="94" spans="1:3">
      <c r="A94" s="26">
        <v>22.7393</v>
      </c>
      <c r="B94">
        <v>72.308800000000005</v>
      </c>
      <c r="C94" s="27">
        <v>0.183753</v>
      </c>
    </row>
    <row r="95" spans="1:3">
      <c r="A95" s="26">
        <v>22.747199999999999</v>
      </c>
      <c r="B95">
        <v>72.731200000000001</v>
      </c>
      <c r="C95" s="27">
        <v>0.18842700000000001</v>
      </c>
    </row>
    <row r="96" spans="1:3">
      <c r="A96" s="26">
        <v>24.836099999999998</v>
      </c>
      <c r="B96">
        <v>84.017700000000005</v>
      </c>
      <c r="C96" s="27">
        <v>0.21359900000000001</v>
      </c>
    </row>
    <row r="97" spans="1:3">
      <c r="A97" s="26">
        <v>24.8371</v>
      </c>
      <c r="B97">
        <v>84.313900000000004</v>
      </c>
      <c r="C97" s="27">
        <v>0.21346799999999999</v>
      </c>
    </row>
    <row r="98" spans="1:3">
      <c r="A98" s="26">
        <v>24.842600000000001</v>
      </c>
      <c r="B98">
        <v>84.774600000000007</v>
      </c>
      <c r="C98" s="27">
        <v>0.23108500000000001</v>
      </c>
    </row>
    <row r="99" spans="1:3">
      <c r="A99" s="26">
        <v>27.125299999999999</v>
      </c>
      <c r="B99">
        <v>95.230500000000006</v>
      </c>
      <c r="C99" s="27">
        <v>0.33183200000000002</v>
      </c>
    </row>
    <row r="100" spans="1:3">
      <c r="A100" s="26">
        <v>27.139399999999998</v>
      </c>
      <c r="B100">
        <v>100.864</v>
      </c>
      <c r="C100" s="27">
        <v>0.31691399999999997</v>
      </c>
    </row>
    <row r="101" spans="1:3">
      <c r="A101" s="26">
        <v>27.1448</v>
      </c>
      <c r="B101">
        <v>95.497600000000006</v>
      </c>
      <c r="C101" s="27">
        <v>0.25425399999999998</v>
      </c>
    </row>
    <row r="102" spans="1:3">
      <c r="A102" s="26">
        <v>29.6357</v>
      </c>
      <c r="B102">
        <v>112.608</v>
      </c>
      <c r="C102" s="27">
        <v>0.29662300000000003</v>
      </c>
    </row>
    <row r="103" spans="1:3">
      <c r="A103" s="26">
        <v>29.6371</v>
      </c>
      <c r="B103">
        <v>112.571</v>
      </c>
      <c r="C103" s="27">
        <v>0.30352899999999999</v>
      </c>
    </row>
    <row r="104" spans="1:3">
      <c r="A104" s="26">
        <v>29.660399999999999</v>
      </c>
      <c r="B104">
        <v>111.69199999999999</v>
      </c>
      <c r="C104" s="27">
        <v>0.31734200000000001</v>
      </c>
    </row>
    <row r="105" spans="1:3">
      <c r="A105" s="26">
        <v>32.373399999999997</v>
      </c>
      <c r="B105">
        <v>130.46700000000001</v>
      </c>
      <c r="C105" s="27">
        <v>0.348688</v>
      </c>
    </row>
    <row r="106" spans="1:3">
      <c r="A106" s="26">
        <v>32.374400000000001</v>
      </c>
      <c r="B106">
        <v>130.14599999999999</v>
      </c>
      <c r="C106" s="27">
        <v>0.34679700000000002</v>
      </c>
    </row>
    <row r="107" spans="1:3">
      <c r="A107" s="26">
        <v>32.402099999999997</v>
      </c>
      <c r="B107">
        <v>129.5</v>
      </c>
      <c r="C107" s="27">
        <v>0.343275</v>
      </c>
    </row>
    <row r="108" spans="1:3">
      <c r="A108" s="26">
        <v>35.3581</v>
      </c>
      <c r="B108">
        <v>149.761</v>
      </c>
      <c r="C108" s="27">
        <v>0.40909400000000001</v>
      </c>
    </row>
    <row r="109" spans="1:3">
      <c r="A109" s="26">
        <v>35.361800000000002</v>
      </c>
      <c r="B109">
        <v>149.83699999999999</v>
      </c>
      <c r="C109" s="27">
        <v>0.40055099999999999</v>
      </c>
    </row>
    <row r="110" spans="1:3">
      <c r="A110" s="26">
        <v>35.392600000000002</v>
      </c>
      <c r="B110">
        <v>148.56200000000001</v>
      </c>
      <c r="C110" s="27">
        <v>0.39297199999999999</v>
      </c>
    </row>
    <row r="111" spans="1:3">
      <c r="A111" s="26">
        <v>38.626399999999997</v>
      </c>
      <c r="B111">
        <v>171.63200000000001</v>
      </c>
      <c r="C111" s="27">
        <v>0.47365000000000002</v>
      </c>
    </row>
    <row r="112" spans="1:3">
      <c r="A112" s="26">
        <v>38.629199999999997</v>
      </c>
      <c r="B112">
        <v>171.88499999999999</v>
      </c>
      <c r="C112" s="27">
        <v>0.46572599999999997</v>
      </c>
    </row>
    <row r="113" spans="1:3">
      <c r="A113" s="26">
        <v>38.659300000000002</v>
      </c>
      <c r="B113">
        <v>170.71799999999999</v>
      </c>
      <c r="C113" s="27">
        <v>0.46231499999999998</v>
      </c>
    </row>
    <row r="114" spans="1:3">
      <c r="A114" s="26">
        <v>42.197099999999999</v>
      </c>
      <c r="B114">
        <v>196.24799999999999</v>
      </c>
      <c r="C114" s="27">
        <v>0.54756300000000002</v>
      </c>
    </row>
    <row r="115" spans="1:3">
      <c r="A115" s="26">
        <v>42.198</v>
      </c>
      <c r="B115">
        <v>196.06899999999999</v>
      </c>
      <c r="C115" s="27">
        <v>0.53963499999999998</v>
      </c>
    </row>
    <row r="116" spans="1:3">
      <c r="A116" s="26">
        <v>42.229300000000002</v>
      </c>
      <c r="B116">
        <v>194.999</v>
      </c>
      <c r="C116" s="27">
        <v>0.52302300000000002</v>
      </c>
    </row>
    <row r="117" spans="1:3">
      <c r="A117" s="26">
        <v>46.093600000000002</v>
      </c>
      <c r="B117">
        <v>221.512</v>
      </c>
      <c r="C117" s="27">
        <v>0.59852499999999997</v>
      </c>
    </row>
    <row r="118" spans="1:3">
      <c r="A118" s="26">
        <v>46.105699999999999</v>
      </c>
      <c r="B118">
        <v>222.42400000000001</v>
      </c>
      <c r="C118" s="27">
        <v>0.61900900000000003</v>
      </c>
    </row>
    <row r="119" spans="1:3">
      <c r="A119" s="26">
        <v>46.106699999999996</v>
      </c>
      <c r="B119">
        <v>222.863</v>
      </c>
      <c r="C119" s="27">
        <v>0.62864100000000001</v>
      </c>
    </row>
    <row r="120" spans="1:3">
      <c r="A120" s="26">
        <v>50.378700000000002</v>
      </c>
      <c r="B120">
        <v>252.97499999999999</v>
      </c>
      <c r="C120" s="27">
        <v>0.71840400000000004</v>
      </c>
    </row>
    <row r="121" spans="1:3">
      <c r="A121" s="26">
        <v>50.378900000000002</v>
      </c>
      <c r="B121">
        <v>252.93899999999999</v>
      </c>
      <c r="C121" s="27">
        <v>0.72499199999999997</v>
      </c>
    </row>
    <row r="122" spans="1:3">
      <c r="A122" s="26">
        <v>50.405500000000004</v>
      </c>
      <c r="B122">
        <v>252.952</v>
      </c>
      <c r="C122" s="27">
        <v>0.71399999999999997</v>
      </c>
    </row>
    <row r="123" spans="1:3">
      <c r="A123" s="26">
        <v>55.040300000000002</v>
      </c>
      <c r="B123">
        <v>284.73099999999999</v>
      </c>
      <c r="C123" s="27">
        <v>0.81169199999999997</v>
      </c>
    </row>
    <row r="124" spans="1:3">
      <c r="A124" s="26">
        <v>55.040500000000002</v>
      </c>
      <c r="B124">
        <v>284.77</v>
      </c>
      <c r="C124" s="27">
        <v>0.80790499999999998</v>
      </c>
    </row>
    <row r="125" spans="1:3">
      <c r="A125" s="26">
        <v>55.061700000000002</v>
      </c>
      <c r="B125">
        <v>284.82799999999997</v>
      </c>
      <c r="C125" s="27">
        <v>0.79925100000000004</v>
      </c>
    </row>
    <row r="126" spans="1:3">
      <c r="A126" s="26">
        <v>60.132300000000001</v>
      </c>
      <c r="B126">
        <v>318.33</v>
      </c>
      <c r="C126" s="27">
        <v>0.92179800000000001</v>
      </c>
    </row>
    <row r="127" spans="1:3">
      <c r="A127" s="26">
        <v>60.1325</v>
      </c>
      <c r="B127">
        <v>318.48</v>
      </c>
      <c r="C127" s="27">
        <v>0.92626299999999995</v>
      </c>
    </row>
    <row r="128" spans="1:3">
      <c r="A128" s="26">
        <v>60.156500000000001</v>
      </c>
      <c r="B128">
        <v>318.42700000000002</v>
      </c>
      <c r="C128" s="27">
        <v>0.90898699999999999</v>
      </c>
    </row>
    <row r="129" spans="1:3">
      <c r="A129" s="26">
        <v>65.697500000000005</v>
      </c>
      <c r="B129">
        <v>354.57799999999997</v>
      </c>
      <c r="C129" s="27">
        <v>1.0404100000000001</v>
      </c>
    </row>
    <row r="130" spans="1:3">
      <c r="A130" s="26">
        <v>65.698800000000006</v>
      </c>
      <c r="B130">
        <v>354.48700000000002</v>
      </c>
      <c r="C130" s="27">
        <v>1.04403</v>
      </c>
    </row>
    <row r="131" spans="1:3">
      <c r="A131" s="26">
        <v>65.707499999999996</v>
      </c>
      <c r="B131">
        <v>354.53199999999998</v>
      </c>
      <c r="C131" s="27">
        <v>1.02308</v>
      </c>
    </row>
    <row r="132" spans="1:3">
      <c r="A132" s="26">
        <v>72.092699999999994</v>
      </c>
      <c r="B132">
        <v>396.89100000000002</v>
      </c>
      <c r="C132" s="27">
        <v>1.1583399999999999</v>
      </c>
    </row>
    <row r="133" spans="1:3">
      <c r="A133" s="26">
        <v>72.098600000000005</v>
      </c>
      <c r="B133">
        <v>397.16300000000001</v>
      </c>
      <c r="C133" s="27">
        <v>1.1122399999999999</v>
      </c>
    </row>
    <row r="134" spans="1:3">
      <c r="A134" s="26">
        <v>72.108199999999997</v>
      </c>
      <c r="B134">
        <v>396.4</v>
      </c>
      <c r="C134" s="27">
        <v>1.2089700000000001</v>
      </c>
    </row>
    <row r="135" spans="1:3">
      <c r="A135" s="26">
        <v>78.442400000000006</v>
      </c>
      <c r="B135">
        <v>436.04</v>
      </c>
      <c r="C135" s="27">
        <v>1.2716099999999999</v>
      </c>
    </row>
    <row r="136" spans="1:3">
      <c r="A136" s="26">
        <v>78.443600000000004</v>
      </c>
      <c r="B136">
        <v>435.48099999999999</v>
      </c>
      <c r="C136" s="27">
        <v>1.27336</v>
      </c>
    </row>
    <row r="137" spans="1:3">
      <c r="A137" s="26">
        <v>78.451400000000007</v>
      </c>
      <c r="B137">
        <v>435.05399999999997</v>
      </c>
      <c r="C137" s="27">
        <v>1.32054</v>
      </c>
    </row>
    <row r="138" spans="1:3">
      <c r="A138" s="26">
        <v>85.345500000000001</v>
      </c>
      <c r="B138">
        <v>474.87200000000001</v>
      </c>
      <c r="C138" s="27">
        <v>1.4137599999999999</v>
      </c>
    </row>
    <row r="139" spans="1:3">
      <c r="A139" s="26">
        <v>85.348299999999995</v>
      </c>
      <c r="B139">
        <v>474.68099999999998</v>
      </c>
      <c r="C139" s="27">
        <v>1.3790199999999999</v>
      </c>
    </row>
    <row r="140" spans="1:3">
      <c r="A140" s="26">
        <v>85.353999999999999</v>
      </c>
      <c r="B140">
        <v>473.84699999999998</v>
      </c>
      <c r="C140" s="27">
        <v>1.3927400000000001</v>
      </c>
    </row>
    <row r="141" spans="1:3">
      <c r="A141" s="26">
        <v>92.867500000000007</v>
      </c>
      <c r="B141">
        <v>515.36099999999999</v>
      </c>
      <c r="C141" s="27">
        <v>1.52616</v>
      </c>
    </row>
    <row r="142" spans="1:3">
      <c r="A142" s="26">
        <v>92.872799999999998</v>
      </c>
      <c r="B142">
        <v>515.11599999999999</v>
      </c>
      <c r="C142" s="27">
        <v>1.4971399999999999</v>
      </c>
    </row>
    <row r="143" spans="1:3">
      <c r="A143" s="26">
        <v>92.876999999999995</v>
      </c>
      <c r="B143">
        <v>515.18499999999995</v>
      </c>
      <c r="C143" s="27">
        <v>1.5099199999999999</v>
      </c>
    </row>
    <row r="144" spans="1:3">
      <c r="A144" s="26">
        <v>101.041</v>
      </c>
      <c r="B144">
        <v>559.96900000000005</v>
      </c>
      <c r="C144" s="27">
        <v>1.6256999999999999</v>
      </c>
    </row>
    <row r="145" spans="1:3">
      <c r="A145" s="26">
        <v>101.041</v>
      </c>
      <c r="B145">
        <v>561.75300000000004</v>
      </c>
      <c r="C145" s="27">
        <v>1.67319</v>
      </c>
    </row>
    <row r="146" spans="1:3">
      <c r="A146" s="26">
        <v>101.042</v>
      </c>
      <c r="B146">
        <v>560.97299999999996</v>
      </c>
      <c r="C146" s="27">
        <v>1.6425399999999999</v>
      </c>
    </row>
    <row r="147" spans="1:3">
      <c r="A147" s="26">
        <v>109.943</v>
      </c>
      <c r="B147">
        <v>609.13699999999994</v>
      </c>
      <c r="C147" s="27">
        <v>1.7899099999999999</v>
      </c>
    </row>
    <row r="148" spans="1:3">
      <c r="A148" s="26">
        <v>109.94499999999999</v>
      </c>
      <c r="B148">
        <v>609.29200000000003</v>
      </c>
      <c r="C148" s="27">
        <v>1.8069</v>
      </c>
    </row>
    <row r="149" spans="1:3">
      <c r="A149" s="26">
        <v>109.949</v>
      </c>
      <c r="B149">
        <v>608.57899999999995</v>
      </c>
      <c r="C149" s="27">
        <v>1.71214</v>
      </c>
    </row>
    <row r="150" spans="1:3">
      <c r="A150" s="26">
        <v>119.633</v>
      </c>
      <c r="B150">
        <v>657.91499999999996</v>
      </c>
      <c r="C150" s="27">
        <v>1.91194</v>
      </c>
    </row>
    <row r="151" spans="1:3">
      <c r="A151" s="26">
        <v>119.634</v>
      </c>
      <c r="B151">
        <v>657.08299999999997</v>
      </c>
      <c r="C151" s="27">
        <v>1.8447800000000001</v>
      </c>
    </row>
    <row r="152" spans="1:3">
      <c r="A152" s="26">
        <v>119.634</v>
      </c>
      <c r="B152">
        <v>657.82399999999996</v>
      </c>
      <c r="C152" s="27">
        <v>1.89581</v>
      </c>
    </row>
    <row r="153" spans="1:3">
      <c r="A153" s="26">
        <v>130.18</v>
      </c>
      <c r="B153">
        <v>711.98699999999997</v>
      </c>
      <c r="C153" s="27">
        <v>2.03634</v>
      </c>
    </row>
    <row r="154" spans="1:3">
      <c r="A154" s="26">
        <v>130.185</v>
      </c>
      <c r="B154">
        <v>712.31399999999996</v>
      </c>
      <c r="C154" s="27">
        <v>2.11294</v>
      </c>
    </row>
    <row r="155" spans="1:3">
      <c r="A155" s="26">
        <v>130.18799999999999</v>
      </c>
      <c r="B155">
        <v>710.48599999999999</v>
      </c>
      <c r="C155" s="27">
        <v>2.0759500000000002</v>
      </c>
    </row>
    <row r="156" spans="1:3">
      <c r="A156" s="26">
        <v>141.62200000000001</v>
      </c>
      <c r="B156">
        <v>766.19399999999996</v>
      </c>
      <c r="C156" s="27">
        <v>2.2442600000000001</v>
      </c>
    </row>
    <row r="157" spans="1:3">
      <c r="A157" s="26">
        <v>141.625</v>
      </c>
      <c r="B157">
        <v>766.83699999999999</v>
      </c>
      <c r="C157" s="27">
        <v>2.2544300000000002</v>
      </c>
    </row>
    <row r="158" spans="1:3">
      <c r="A158" s="26">
        <v>141.65799999999999</v>
      </c>
      <c r="B158">
        <v>766.19600000000003</v>
      </c>
      <c r="C158" s="27">
        <v>2.1930499999999999</v>
      </c>
    </row>
    <row r="159" spans="1:3">
      <c r="A159" s="26">
        <v>154.119</v>
      </c>
      <c r="B159">
        <v>826.38800000000003</v>
      </c>
      <c r="C159" s="27">
        <v>2.3891100000000001</v>
      </c>
    </row>
    <row r="160" spans="1:3">
      <c r="A160" s="26">
        <v>154.12299999999999</v>
      </c>
      <c r="B160">
        <v>825.53099999999995</v>
      </c>
      <c r="C160" s="27">
        <v>2.4033799999999998</v>
      </c>
    </row>
    <row r="161" spans="1:3">
      <c r="A161" s="26">
        <v>154.14599999999999</v>
      </c>
      <c r="B161">
        <v>824.35900000000004</v>
      </c>
      <c r="C161" s="27">
        <v>2.4422100000000002</v>
      </c>
    </row>
    <row r="162" spans="1:3">
      <c r="A162" s="26">
        <v>167.755</v>
      </c>
      <c r="B162">
        <v>894.41700000000003</v>
      </c>
      <c r="C162" s="27">
        <v>2.57314</v>
      </c>
    </row>
    <row r="163" spans="1:3">
      <c r="A163" s="26">
        <v>167.76</v>
      </c>
      <c r="B163">
        <v>894.34299999999996</v>
      </c>
      <c r="C163" s="27">
        <v>2.5583999999999998</v>
      </c>
    </row>
    <row r="164" spans="1:3">
      <c r="A164" s="26">
        <v>167.779</v>
      </c>
      <c r="B164">
        <v>894.57100000000003</v>
      </c>
      <c r="C164" s="27">
        <v>2.4930699999999999</v>
      </c>
    </row>
    <row r="165" spans="1:3">
      <c r="A165" s="26">
        <v>182.54900000000001</v>
      </c>
      <c r="B165">
        <v>963.61500000000001</v>
      </c>
      <c r="C165" s="27">
        <v>2.7793800000000002</v>
      </c>
    </row>
    <row r="166" spans="1:3">
      <c r="A166" s="26">
        <v>182.55099999999999</v>
      </c>
      <c r="B166">
        <v>966.05</v>
      </c>
      <c r="C166" s="27">
        <v>2.74681</v>
      </c>
    </row>
    <row r="167" spans="1:3">
      <c r="A167" s="26">
        <v>182.57</v>
      </c>
      <c r="B167">
        <v>964.06899999999996</v>
      </c>
      <c r="C167" s="27">
        <v>2.6842800000000002</v>
      </c>
    </row>
    <row r="168" spans="1:3">
      <c r="A168" s="26">
        <v>198.601</v>
      </c>
      <c r="B168">
        <v>1036.6600000000001</v>
      </c>
      <c r="C168" s="27">
        <v>2.9429799999999999</v>
      </c>
    </row>
    <row r="169" spans="1:3">
      <c r="A169" s="26">
        <v>198.60599999999999</v>
      </c>
      <c r="B169">
        <v>1035.8699999999999</v>
      </c>
      <c r="C169" s="27">
        <v>2.8133599999999999</v>
      </c>
    </row>
    <row r="170" spans="1:3">
      <c r="A170" s="26">
        <v>198.608</v>
      </c>
      <c r="B170">
        <v>1036.46</v>
      </c>
      <c r="C170" s="27">
        <v>2.8898100000000002</v>
      </c>
    </row>
    <row r="171" spans="1:3">
      <c r="A171" s="26">
        <v>216.119</v>
      </c>
      <c r="B171">
        <v>1113.42</v>
      </c>
      <c r="C171" s="27">
        <v>3.0197799999999999</v>
      </c>
    </row>
    <row r="172" spans="1:3">
      <c r="A172" s="26">
        <v>216.12899999999999</v>
      </c>
      <c r="B172">
        <v>1114.47</v>
      </c>
      <c r="C172" s="27">
        <v>3.0840399999999999</v>
      </c>
    </row>
    <row r="173" spans="1:3">
      <c r="A173" s="26">
        <v>216.131</v>
      </c>
      <c r="B173">
        <v>1113.07</v>
      </c>
      <c r="C173" s="27">
        <v>3.0877300000000001</v>
      </c>
    </row>
    <row r="174" spans="1:3">
      <c r="A174" s="26">
        <v>235.149</v>
      </c>
      <c r="B174">
        <v>1197.8</v>
      </c>
      <c r="C174" s="27">
        <v>3.18357</v>
      </c>
    </row>
    <row r="175" spans="1:3">
      <c r="A175" s="26">
        <v>235.19</v>
      </c>
      <c r="B175">
        <v>1197.29</v>
      </c>
      <c r="C175" s="27">
        <v>3.2716599999999998</v>
      </c>
    </row>
    <row r="176" spans="1:3">
      <c r="A176" s="26">
        <v>235.19800000000001</v>
      </c>
      <c r="B176">
        <v>1197.07</v>
      </c>
      <c r="C176" s="27">
        <v>3.2676699999999999</v>
      </c>
    </row>
    <row r="177" spans="1:3">
      <c r="A177" s="26">
        <v>255.84</v>
      </c>
      <c r="B177">
        <v>1282.8800000000001</v>
      </c>
      <c r="C177" s="27">
        <v>3.4421599999999999</v>
      </c>
    </row>
    <row r="178" spans="1:3">
      <c r="A178" s="26">
        <v>255.93600000000001</v>
      </c>
      <c r="B178">
        <v>1281.5</v>
      </c>
      <c r="C178" s="27">
        <v>3.4896500000000001</v>
      </c>
    </row>
    <row r="179" spans="1:3">
      <c r="A179" s="26">
        <v>255.941</v>
      </c>
      <c r="B179">
        <v>1283.28</v>
      </c>
      <c r="C179" s="27">
        <v>3.5289899999999998</v>
      </c>
    </row>
    <row r="180" spans="1:3">
      <c r="A180" s="26">
        <v>278.26499999999999</v>
      </c>
      <c r="B180">
        <v>1382.29</v>
      </c>
      <c r="C180" s="27">
        <v>3.8288899999999999</v>
      </c>
    </row>
    <row r="181" spans="1:3">
      <c r="A181" s="26">
        <v>278.46699999999998</v>
      </c>
      <c r="B181">
        <v>1381.28</v>
      </c>
      <c r="C181" s="27">
        <v>3.7960799999999999</v>
      </c>
    </row>
    <row r="182" spans="1:3">
      <c r="A182" s="26">
        <v>278.46800000000002</v>
      </c>
      <c r="B182">
        <v>1382.79</v>
      </c>
      <c r="C182" s="27">
        <v>3.83927</v>
      </c>
    </row>
    <row r="183" spans="1:3">
      <c r="A183" s="26">
        <v>302.50299999999999</v>
      </c>
      <c r="B183">
        <v>1496.38</v>
      </c>
      <c r="C183" s="27">
        <v>4.2791100000000002</v>
      </c>
    </row>
    <row r="184" spans="1:3">
      <c r="A184" s="26">
        <v>302.654</v>
      </c>
      <c r="B184">
        <v>1483.98</v>
      </c>
      <c r="C184" s="27">
        <v>3.92089</v>
      </c>
    </row>
    <row r="185" spans="1:3">
      <c r="A185" s="30">
        <v>302.67200000000003</v>
      </c>
      <c r="B185" s="28">
        <v>1475.81</v>
      </c>
      <c r="C185" s="29">
        <v>3.9684599999999999</v>
      </c>
    </row>
    <row r="186" spans="1:3">
      <c r="A186" s="26"/>
      <c r="C186" s="27"/>
    </row>
    <row r="187" spans="1:3">
      <c r="A187" s="26"/>
      <c r="C187" s="27"/>
    </row>
    <row r="188" spans="1:3">
      <c r="A188" s="26"/>
      <c r="C188" s="27"/>
    </row>
    <row r="189" spans="1:3">
      <c r="A189" s="26"/>
      <c r="C189" s="27"/>
    </row>
    <row r="190" spans="1:3">
      <c r="A190" s="26"/>
      <c r="C190" s="27"/>
    </row>
    <row r="191" spans="1:3">
      <c r="A191" s="30"/>
      <c r="B191" s="28"/>
      <c r="C191" s="29"/>
    </row>
  </sheetData>
  <mergeCells count="2">
    <mergeCell ref="D4:F4"/>
    <mergeCell ref="A4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60239-1978-425B-B398-899BD89416CB}">
  <dimension ref="A1:A43"/>
  <sheetViews>
    <sheetView workbookViewId="0"/>
  </sheetViews>
  <sheetFormatPr defaultRowHeight="14.25"/>
  <sheetData>
    <row r="1" spans="1:1">
      <c r="A1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  <row r="8" spans="1:1">
      <c r="A8" t="s">
        <v>44</v>
      </c>
    </row>
    <row r="9" spans="1:1">
      <c r="A9" t="s">
        <v>45</v>
      </c>
    </row>
    <row r="10" spans="1:1">
      <c r="A10" t="s">
        <v>46</v>
      </c>
    </row>
    <row r="11" spans="1:1">
      <c r="A11" t="s">
        <v>47</v>
      </c>
    </row>
    <row r="13" spans="1:1">
      <c r="A13" t="s">
        <v>48</v>
      </c>
    </row>
    <row r="14" spans="1:1">
      <c r="A14" t="s">
        <v>49</v>
      </c>
    </row>
    <row r="15" spans="1:1">
      <c r="A15" t="s">
        <v>50</v>
      </c>
    </row>
    <row r="16" spans="1:1">
      <c r="A16" t="s">
        <v>42</v>
      </c>
    </row>
    <row r="17" spans="1:1">
      <c r="A17" t="s">
        <v>51</v>
      </c>
    </row>
    <row r="18" spans="1:1">
      <c r="A18" t="s">
        <v>52</v>
      </c>
    </row>
    <row r="19" spans="1:1">
      <c r="A19" t="s">
        <v>53</v>
      </c>
    </row>
    <row r="20" spans="1:1">
      <c r="A20" t="s">
        <v>54</v>
      </c>
    </row>
    <row r="21" spans="1:1">
      <c r="A21" t="s">
        <v>55</v>
      </c>
    </row>
    <row r="22" spans="1:1">
      <c r="A22" t="s">
        <v>56</v>
      </c>
    </row>
    <row r="23" spans="1:1">
      <c r="A23" t="s">
        <v>57</v>
      </c>
    </row>
    <row r="24" spans="1:1">
      <c r="A24" t="s">
        <v>58</v>
      </c>
    </row>
    <row r="25" spans="1:1">
      <c r="A25" t="s">
        <v>59</v>
      </c>
    </row>
    <row r="26" spans="1:1">
      <c r="A26" t="s">
        <v>60</v>
      </c>
    </row>
    <row r="27" spans="1:1">
      <c r="A27" t="s">
        <v>61</v>
      </c>
    </row>
    <row r="29" spans="1:1">
      <c r="A29" t="s">
        <v>62</v>
      </c>
    </row>
    <row r="30" spans="1:1">
      <c r="A30" t="s">
        <v>63</v>
      </c>
    </row>
    <row r="31" spans="1:1">
      <c r="A31" t="s">
        <v>64</v>
      </c>
    </row>
    <row r="32" spans="1:1">
      <c r="A32" t="s">
        <v>42</v>
      </c>
    </row>
    <row r="33" spans="1:1">
      <c r="A33" t="s">
        <v>65</v>
      </c>
    </row>
    <row r="34" spans="1:1">
      <c r="A34" t="s">
        <v>66</v>
      </c>
    </row>
    <row r="35" spans="1:1">
      <c r="A35" t="s">
        <v>67</v>
      </c>
    </row>
    <row r="36" spans="1:1">
      <c r="A36" t="s">
        <v>68</v>
      </c>
    </row>
    <row r="37" spans="1:1">
      <c r="A37" t="s">
        <v>69</v>
      </c>
    </row>
    <row r="38" spans="1:1">
      <c r="A38" t="s">
        <v>70</v>
      </c>
    </row>
    <row r="39" spans="1:1">
      <c r="A39" t="s">
        <v>71</v>
      </c>
    </row>
    <row r="40" spans="1:1">
      <c r="A40" t="s">
        <v>72</v>
      </c>
    </row>
    <row r="41" spans="1:1">
      <c r="A41" t="s">
        <v>73</v>
      </c>
    </row>
    <row r="43" spans="1:1">
      <c r="A43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182B1-9980-447E-9381-541A8189D38F}">
  <dimension ref="A1:W53"/>
  <sheetViews>
    <sheetView workbookViewId="0"/>
  </sheetViews>
  <sheetFormatPr defaultRowHeight="14.25"/>
  <sheetData>
    <row r="1" spans="1:23" ht="15">
      <c r="A1" s="31" t="s">
        <v>75</v>
      </c>
    </row>
    <row r="2" spans="1:23">
      <c r="A2" t="s">
        <v>18</v>
      </c>
      <c r="I2" t="s">
        <v>19</v>
      </c>
    </row>
    <row r="3" spans="1:23">
      <c r="A3" t="s">
        <v>14</v>
      </c>
      <c r="B3" t="s">
        <v>15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I3" t="s">
        <v>14</v>
      </c>
      <c r="J3" t="s">
        <v>15</v>
      </c>
      <c r="K3" t="s">
        <v>20</v>
      </c>
      <c r="L3" t="s">
        <v>21</v>
      </c>
      <c r="M3" t="s">
        <v>22</v>
      </c>
      <c r="N3" t="s">
        <v>23</v>
      </c>
      <c r="O3" t="s">
        <v>24</v>
      </c>
      <c r="Q3" t="s">
        <v>25</v>
      </c>
      <c r="R3" t="s">
        <v>26</v>
      </c>
      <c r="S3" t="s">
        <v>27</v>
      </c>
      <c r="T3" t="s">
        <v>28</v>
      </c>
      <c r="U3" t="s">
        <v>29</v>
      </c>
      <c r="V3" t="s">
        <v>30</v>
      </c>
      <c r="W3" t="s">
        <v>31</v>
      </c>
    </row>
    <row r="4" spans="1:23">
      <c r="A4" t="s">
        <v>32</v>
      </c>
      <c r="B4" t="s">
        <v>33</v>
      </c>
      <c r="C4" t="s">
        <v>34</v>
      </c>
      <c r="D4" t="s">
        <v>33</v>
      </c>
      <c r="E4" t="s">
        <v>33</v>
      </c>
      <c r="F4" t="s">
        <v>34</v>
      </c>
      <c r="G4" t="s">
        <v>33</v>
      </c>
      <c r="I4" t="s">
        <v>32</v>
      </c>
      <c r="J4" t="s">
        <v>33</v>
      </c>
      <c r="K4" t="s">
        <v>34</v>
      </c>
      <c r="L4" t="s">
        <v>33</v>
      </c>
      <c r="M4" t="s">
        <v>33</v>
      </c>
      <c r="N4" t="s">
        <v>34</v>
      </c>
      <c r="O4" t="s">
        <v>33</v>
      </c>
      <c r="Q4" t="s">
        <v>9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</row>
    <row r="5" spans="1:23">
      <c r="A5">
        <v>0</v>
      </c>
      <c r="B5">
        <v>0</v>
      </c>
      <c r="C5">
        <v>0</v>
      </c>
      <c r="D5" t="s">
        <v>35</v>
      </c>
      <c r="E5">
        <v>0</v>
      </c>
      <c r="F5">
        <v>0</v>
      </c>
      <c r="G5" t="s">
        <v>35</v>
      </c>
      <c r="I5">
        <v>0</v>
      </c>
      <c r="J5">
        <v>0</v>
      </c>
      <c r="K5">
        <v>0</v>
      </c>
      <c r="L5" t="s">
        <v>35</v>
      </c>
      <c r="M5">
        <v>0</v>
      </c>
      <c r="N5">
        <v>0</v>
      </c>
      <c r="O5" t="s">
        <v>35</v>
      </c>
    </row>
    <row r="6" spans="1:23">
      <c r="A6">
        <v>5</v>
      </c>
      <c r="B6">
        <v>1.149</v>
      </c>
      <c r="C6">
        <v>3.5049999999999999</v>
      </c>
      <c r="D6">
        <v>0.70099999999999996</v>
      </c>
      <c r="E6">
        <v>2.351</v>
      </c>
      <c r="F6">
        <v>-8.2509999999999994</v>
      </c>
      <c r="G6">
        <v>1.65</v>
      </c>
      <c r="I6">
        <v>5</v>
      </c>
      <c r="J6">
        <v>1.1912257874615799</v>
      </c>
      <c r="K6">
        <v>2.9037013898177899</v>
      </c>
      <c r="L6">
        <v>0.58074027796355798</v>
      </c>
      <c r="M6">
        <v>1.0100484202293101</v>
      </c>
      <c r="N6">
        <v>-2.1465407113288002</v>
      </c>
      <c r="O6">
        <v>0.42930814226575997</v>
      </c>
      <c r="Q6">
        <v>0</v>
      </c>
      <c r="R6">
        <v>-3.6750032603645502</v>
      </c>
      <c r="S6">
        <v>17.155452501632102</v>
      </c>
      <c r="T6">
        <v>17.155452501632102</v>
      </c>
      <c r="U6">
        <v>57.037498076166699</v>
      </c>
      <c r="V6">
        <v>73.984478107759003</v>
      </c>
      <c r="W6">
        <v>73.981324711165996</v>
      </c>
    </row>
    <row r="7" spans="1:23">
      <c r="A7">
        <v>9.5</v>
      </c>
      <c r="B7">
        <v>11.74</v>
      </c>
      <c r="C7">
        <v>27.58</v>
      </c>
      <c r="D7">
        <v>2.9039999999999999</v>
      </c>
      <c r="E7">
        <v>5.431</v>
      </c>
      <c r="F7">
        <v>-24.01</v>
      </c>
      <c r="G7">
        <v>2.5270000000000001</v>
      </c>
    </row>
    <row r="8" spans="1:23">
      <c r="A8" t="s">
        <v>36</v>
      </c>
    </row>
    <row r="9" spans="1:23">
      <c r="A9">
        <v>9.5</v>
      </c>
      <c r="B9">
        <v>11.73</v>
      </c>
      <c r="C9">
        <v>27.58</v>
      </c>
      <c r="D9">
        <v>2.9039999999999999</v>
      </c>
      <c r="E9">
        <v>5.431</v>
      </c>
      <c r="F9">
        <v>-24.01</v>
      </c>
      <c r="G9">
        <v>2.5270000000000001</v>
      </c>
    </row>
    <row r="10" spans="1:23">
      <c r="A10">
        <v>10</v>
      </c>
      <c r="B10">
        <v>13.55</v>
      </c>
      <c r="C10">
        <v>33.9</v>
      </c>
      <c r="D10">
        <v>3.39</v>
      </c>
      <c r="E10">
        <v>6.0789999999999997</v>
      </c>
      <c r="F10">
        <v>-26.88</v>
      </c>
      <c r="G10">
        <v>2.6880000000000002</v>
      </c>
      <c r="I10">
        <v>10</v>
      </c>
      <c r="J10">
        <v>13.7158157209096</v>
      </c>
      <c r="K10">
        <v>33.310295417905301</v>
      </c>
      <c r="L10">
        <v>3.3310295417905298</v>
      </c>
      <c r="M10">
        <v>4.7262362506146101</v>
      </c>
      <c r="N10">
        <v>-13.952067088240801</v>
      </c>
      <c r="O10">
        <v>1.39520670882408</v>
      </c>
      <c r="Q10">
        <v>0</v>
      </c>
      <c r="R10">
        <v>-1.22373225763612</v>
      </c>
      <c r="S10">
        <v>1.7395415401022001</v>
      </c>
      <c r="T10">
        <v>1.7395415401022101</v>
      </c>
      <c r="U10">
        <v>22.253063816176599</v>
      </c>
      <c r="V10">
        <v>48.094988511008701</v>
      </c>
      <c r="W10">
        <v>48.094988511008701</v>
      </c>
    </row>
    <row r="11" spans="1:23">
      <c r="A11">
        <v>15</v>
      </c>
      <c r="B11">
        <v>34.659999999999997</v>
      </c>
      <c r="C11">
        <v>152.80000000000001</v>
      </c>
      <c r="D11">
        <v>10.19</v>
      </c>
      <c r="E11">
        <v>15.43</v>
      </c>
      <c r="F11">
        <v>-78.67</v>
      </c>
      <c r="G11">
        <v>5.2450000000000001</v>
      </c>
      <c r="I11">
        <v>15</v>
      </c>
      <c r="J11">
        <v>34.526777719050102</v>
      </c>
      <c r="K11">
        <v>153.372617055272</v>
      </c>
      <c r="L11">
        <v>10.2248411370181</v>
      </c>
      <c r="M11">
        <v>14.1607462340762</v>
      </c>
      <c r="N11">
        <v>-59.0385764558701</v>
      </c>
      <c r="O11">
        <v>3.9359050970580101</v>
      </c>
      <c r="Q11">
        <v>0</v>
      </c>
      <c r="R11">
        <v>0.38436895830898499</v>
      </c>
      <c r="S11">
        <v>-0.37474938172308297</v>
      </c>
      <c r="T11">
        <v>-0.34191498545821802</v>
      </c>
      <c r="U11">
        <v>8.2258831232909504</v>
      </c>
      <c r="V11">
        <v>24.954142041603902</v>
      </c>
      <c r="W11">
        <v>24.958911400228502</v>
      </c>
    </row>
    <row r="12" spans="1:23">
      <c r="A12">
        <v>20</v>
      </c>
      <c r="B12">
        <v>58.51</v>
      </c>
      <c r="C12">
        <v>384.8</v>
      </c>
      <c r="D12">
        <v>19.239999999999998</v>
      </c>
      <c r="E12">
        <v>28.62</v>
      </c>
      <c r="F12">
        <v>-187.5</v>
      </c>
      <c r="G12">
        <v>9.3759999999999994</v>
      </c>
      <c r="I12">
        <v>20</v>
      </c>
      <c r="J12">
        <v>58.018651081359401</v>
      </c>
      <c r="K12">
        <v>383.22754521568697</v>
      </c>
      <c r="L12">
        <v>19.161377260784398</v>
      </c>
      <c r="M12">
        <v>27.214481765111898</v>
      </c>
      <c r="N12">
        <v>-161.06209008654901</v>
      </c>
      <c r="O12">
        <v>8.0531045043274894</v>
      </c>
      <c r="Q12">
        <v>0</v>
      </c>
      <c r="R12">
        <v>0.83976913115804996</v>
      </c>
      <c r="S12">
        <v>0.408642095715195</v>
      </c>
      <c r="T12">
        <v>0.40864209571517601</v>
      </c>
      <c r="U12">
        <v>4.9109651813001403</v>
      </c>
      <c r="V12">
        <v>14.100218620506601</v>
      </c>
      <c r="W12">
        <v>14.109380286609399</v>
      </c>
    </row>
    <row r="13" spans="1:23">
      <c r="A13">
        <v>25</v>
      </c>
      <c r="B13">
        <v>84.83</v>
      </c>
      <c r="C13">
        <v>742</v>
      </c>
      <c r="D13">
        <v>29.68</v>
      </c>
      <c r="E13">
        <v>44.45</v>
      </c>
      <c r="F13">
        <v>-369.2</v>
      </c>
      <c r="G13">
        <v>14.77</v>
      </c>
      <c r="I13">
        <v>25</v>
      </c>
      <c r="J13">
        <v>85.495570193192194</v>
      </c>
      <c r="K13">
        <v>739.44912210727205</v>
      </c>
      <c r="L13">
        <v>29.5779648842909</v>
      </c>
      <c r="M13">
        <v>42.987405646868602</v>
      </c>
      <c r="N13">
        <v>-335.23601906444202</v>
      </c>
      <c r="O13">
        <v>13.409440762577701</v>
      </c>
      <c r="Q13">
        <v>0</v>
      </c>
      <c r="R13">
        <v>-0.78459294258196399</v>
      </c>
      <c r="S13">
        <v>0.34378408257781401</v>
      </c>
      <c r="T13">
        <v>0.34378408257781801</v>
      </c>
      <c r="U13">
        <v>3.29042599129669</v>
      </c>
      <c r="V13">
        <v>9.1993447821118899</v>
      </c>
      <c r="W13">
        <v>9.2116400637933893</v>
      </c>
    </row>
    <row r="14" spans="1:23">
      <c r="A14">
        <v>30</v>
      </c>
      <c r="B14">
        <v>114.2</v>
      </c>
      <c r="C14">
        <v>1238</v>
      </c>
      <c r="D14">
        <v>41.28</v>
      </c>
      <c r="E14">
        <v>62.46</v>
      </c>
      <c r="F14">
        <v>-635.6</v>
      </c>
      <c r="G14">
        <v>21.19</v>
      </c>
      <c r="I14">
        <v>30</v>
      </c>
      <c r="J14">
        <v>114.042162182086</v>
      </c>
      <c r="K14">
        <v>1233.6953926515901</v>
      </c>
      <c r="L14">
        <v>41.123179755053002</v>
      </c>
      <c r="M14">
        <v>60.914993091900598</v>
      </c>
      <c r="N14">
        <v>-593.754400105429</v>
      </c>
      <c r="O14">
        <v>19.7918133368476</v>
      </c>
      <c r="Q14">
        <v>0</v>
      </c>
      <c r="R14">
        <v>0.138211749486641</v>
      </c>
      <c r="S14">
        <v>0.34770657095395302</v>
      </c>
      <c r="T14">
        <v>0.37989400423207198</v>
      </c>
      <c r="U14">
        <v>2.47359415321703</v>
      </c>
      <c r="V14">
        <v>6.5836374912792497</v>
      </c>
      <c r="W14">
        <v>6.5983325302140896</v>
      </c>
    </row>
    <row r="15" spans="1:23">
      <c r="A15">
        <v>35</v>
      </c>
      <c r="B15">
        <v>146.5</v>
      </c>
      <c r="C15">
        <v>1889</v>
      </c>
      <c r="D15">
        <v>53.97</v>
      </c>
      <c r="E15">
        <v>82.46</v>
      </c>
      <c r="F15">
        <v>-997.2</v>
      </c>
      <c r="G15">
        <v>28.49</v>
      </c>
      <c r="I15">
        <v>35</v>
      </c>
      <c r="J15">
        <v>147.30651282138001</v>
      </c>
      <c r="K15">
        <v>1887.1386388424</v>
      </c>
      <c r="L15">
        <v>53.918246824068703</v>
      </c>
      <c r="M15">
        <v>80.982078540572999</v>
      </c>
      <c r="N15">
        <v>-947.23411007764798</v>
      </c>
      <c r="O15">
        <v>27.0638317165042</v>
      </c>
      <c r="Q15">
        <v>0</v>
      </c>
      <c r="R15">
        <v>-0.550520697187875</v>
      </c>
      <c r="S15">
        <v>9.8536853234152302E-2</v>
      </c>
      <c r="T15">
        <v>9.5892488292073294E-2</v>
      </c>
      <c r="U15">
        <v>1.7922889393972501</v>
      </c>
      <c r="V15">
        <v>5.01061872466419</v>
      </c>
      <c r="W15">
        <v>5.0058556809257704</v>
      </c>
    </row>
    <row r="16" spans="1:23">
      <c r="A16">
        <v>40</v>
      </c>
      <c r="B16">
        <v>180.7</v>
      </c>
      <c r="C16">
        <v>2707</v>
      </c>
      <c r="D16">
        <v>67.66</v>
      </c>
      <c r="E16">
        <v>104.2</v>
      </c>
      <c r="F16">
        <v>-1463</v>
      </c>
      <c r="G16">
        <v>36.58</v>
      </c>
      <c r="I16">
        <v>40</v>
      </c>
      <c r="J16">
        <v>180.39295929673801</v>
      </c>
      <c r="K16">
        <v>2704.2041870276398</v>
      </c>
      <c r="L16">
        <v>67.605104675690995</v>
      </c>
      <c r="M16">
        <v>102.740399856251</v>
      </c>
      <c r="N16">
        <v>-1405.4118072224301</v>
      </c>
      <c r="O16">
        <v>35.135295180560703</v>
      </c>
      <c r="Q16">
        <v>0</v>
      </c>
      <c r="R16">
        <v>0.169917378672893</v>
      </c>
      <c r="S16">
        <v>0.103280863404412</v>
      </c>
      <c r="T16">
        <v>8.1134088544088198E-2</v>
      </c>
      <c r="U16">
        <v>1.40076789227273</v>
      </c>
      <c r="V16">
        <v>3.9363084605310901</v>
      </c>
      <c r="W16">
        <v>3.9494390908672599</v>
      </c>
    </row>
    <row r="17" spans="1:23">
      <c r="A17">
        <v>45</v>
      </c>
      <c r="B17">
        <v>215.7</v>
      </c>
      <c r="C17">
        <v>3698</v>
      </c>
      <c r="D17">
        <v>82.17</v>
      </c>
      <c r="E17">
        <v>127.5</v>
      </c>
      <c r="F17">
        <v>-2042</v>
      </c>
      <c r="G17">
        <v>45.38</v>
      </c>
      <c r="I17">
        <v>45</v>
      </c>
      <c r="J17">
        <v>214.00879973086899</v>
      </c>
      <c r="K17">
        <v>3690.87882507022</v>
      </c>
      <c r="L17">
        <v>82.019529446005095</v>
      </c>
      <c r="M17">
        <v>125.93831417195101</v>
      </c>
      <c r="N17">
        <v>-1976.34531266759</v>
      </c>
      <c r="O17">
        <v>43.918784725946402</v>
      </c>
      <c r="Q17">
        <v>0</v>
      </c>
      <c r="R17">
        <v>0.78405204873911105</v>
      </c>
      <c r="S17">
        <v>0.19256827825230899</v>
      </c>
      <c r="T17">
        <v>0.183121034434578</v>
      </c>
      <c r="U17">
        <v>1.2248516298418901</v>
      </c>
      <c r="V17">
        <v>3.2152148546722898</v>
      </c>
      <c r="W17">
        <v>3.2199543280156901</v>
      </c>
    </row>
    <row r="18" spans="1:23">
      <c r="A18">
        <v>50</v>
      </c>
      <c r="B18">
        <v>250.4</v>
      </c>
      <c r="C18">
        <v>4863</v>
      </c>
      <c r="D18">
        <v>97.26</v>
      </c>
      <c r="E18">
        <v>152.1</v>
      </c>
      <c r="F18">
        <v>-2741</v>
      </c>
      <c r="G18">
        <v>54.82</v>
      </c>
      <c r="I18">
        <v>50</v>
      </c>
      <c r="J18">
        <v>250.30566142321999</v>
      </c>
      <c r="K18">
        <v>4853.0238294225901</v>
      </c>
      <c r="L18">
        <v>97.060476588451905</v>
      </c>
      <c r="M18">
        <v>150.384153038459</v>
      </c>
      <c r="N18">
        <v>-2666.1838225003498</v>
      </c>
      <c r="O18">
        <v>53.323676450007</v>
      </c>
      <c r="Q18">
        <v>0</v>
      </c>
      <c r="R18">
        <v>3.7675150470867197E-2</v>
      </c>
      <c r="S18">
        <v>0.20514436720957599</v>
      </c>
      <c r="T18">
        <v>0.20514436720958501</v>
      </c>
      <c r="U18">
        <v>1.12810451120378</v>
      </c>
      <c r="V18">
        <v>2.72952125135523</v>
      </c>
      <c r="W18">
        <v>2.7295212513552198</v>
      </c>
    </row>
    <row r="19" spans="1:23">
      <c r="A19">
        <v>55</v>
      </c>
      <c r="B19">
        <v>284.3</v>
      </c>
      <c r="C19">
        <v>6200</v>
      </c>
      <c r="D19">
        <v>112.7</v>
      </c>
      <c r="E19">
        <v>177.5</v>
      </c>
      <c r="F19">
        <v>-3564</v>
      </c>
      <c r="G19">
        <v>64.81</v>
      </c>
      <c r="I19">
        <v>55</v>
      </c>
      <c r="J19">
        <v>284.45467875636399</v>
      </c>
      <c r="K19">
        <v>6189.6564571361196</v>
      </c>
      <c r="L19">
        <v>112.53920831156501</v>
      </c>
      <c r="M19">
        <v>175.826938521144</v>
      </c>
      <c r="N19">
        <v>-3480.82516152683</v>
      </c>
      <c r="O19">
        <v>63.287730209578797</v>
      </c>
      <c r="Q19">
        <v>0</v>
      </c>
      <c r="R19">
        <v>-5.4406878777660102E-2</v>
      </c>
      <c r="S19">
        <v>0.16683133651406801</v>
      </c>
      <c r="T19">
        <v>0.142672305620271</v>
      </c>
      <c r="U19">
        <v>0.94256984724235104</v>
      </c>
      <c r="V19">
        <v>2.3337496765758301</v>
      </c>
      <c r="W19">
        <v>2.3488193032265698</v>
      </c>
    </row>
    <row r="20" spans="1:23">
      <c r="A20">
        <v>60</v>
      </c>
      <c r="B20">
        <v>317.5</v>
      </c>
      <c r="C20">
        <v>7705</v>
      </c>
      <c r="D20">
        <v>128.4</v>
      </c>
      <c r="E20">
        <v>203.7</v>
      </c>
      <c r="F20">
        <v>-4517</v>
      </c>
      <c r="G20">
        <v>75.290000000000006</v>
      </c>
      <c r="I20">
        <v>60</v>
      </c>
      <c r="J20">
        <v>317.45587965921101</v>
      </c>
      <c r="K20">
        <v>7694.3494789235701</v>
      </c>
      <c r="L20">
        <v>128.239157982059</v>
      </c>
      <c r="M20">
        <v>201.98284011724101</v>
      </c>
      <c r="N20">
        <v>-4424.6209281109004</v>
      </c>
      <c r="O20">
        <v>73.7436821351818</v>
      </c>
      <c r="Q20">
        <v>0</v>
      </c>
      <c r="R20">
        <v>1.38961703269554E-2</v>
      </c>
      <c r="S20">
        <v>0.13822869664405399</v>
      </c>
      <c r="T20">
        <v>0.12526636911246899</v>
      </c>
      <c r="U20">
        <v>0.84298472398557101</v>
      </c>
      <c r="V20">
        <v>2.04514217155395</v>
      </c>
      <c r="W20">
        <v>2.0538157322595301</v>
      </c>
    </row>
    <row r="21" spans="1:23">
      <c r="A21">
        <v>65</v>
      </c>
      <c r="B21">
        <v>350.2</v>
      </c>
      <c r="C21">
        <v>9374</v>
      </c>
      <c r="D21">
        <v>144.19999999999999</v>
      </c>
      <c r="E21">
        <v>230.4</v>
      </c>
      <c r="F21">
        <v>-5602</v>
      </c>
      <c r="G21">
        <v>86.19</v>
      </c>
      <c r="I21">
        <v>65</v>
      </c>
      <c r="J21">
        <v>350.02731916621502</v>
      </c>
      <c r="K21">
        <v>9362.9425273038505</v>
      </c>
      <c r="L21">
        <v>144.045269650828</v>
      </c>
      <c r="M21">
        <v>228.67143979633099</v>
      </c>
      <c r="N21">
        <v>-5500.7010594577096</v>
      </c>
      <c r="O21">
        <v>84.626170145503195</v>
      </c>
      <c r="Q21">
        <v>0</v>
      </c>
      <c r="R21">
        <v>4.9309204393080501E-2</v>
      </c>
      <c r="S21">
        <v>0.11795895771433899</v>
      </c>
      <c r="T21">
        <v>0.10730259998017699</v>
      </c>
      <c r="U21">
        <v>0.75024314395320901</v>
      </c>
      <c r="V21">
        <v>1.8082638440251699</v>
      </c>
      <c r="W21">
        <v>1.81439825327389</v>
      </c>
    </row>
    <row r="22" spans="1:23">
      <c r="A22">
        <v>70</v>
      </c>
      <c r="B22">
        <v>382.3</v>
      </c>
      <c r="C22">
        <v>11210</v>
      </c>
      <c r="D22">
        <v>160.1</v>
      </c>
      <c r="E22">
        <v>257.5</v>
      </c>
      <c r="F22">
        <v>-6822</v>
      </c>
      <c r="G22">
        <v>97.46</v>
      </c>
      <c r="I22">
        <v>70</v>
      </c>
      <c r="J22">
        <v>383.00816480298101</v>
      </c>
      <c r="K22">
        <v>11195.1643359714</v>
      </c>
      <c r="L22">
        <v>159.93091908530599</v>
      </c>
      <c r="M22">
        <v>255.80930801514799</v>
      </c>
      <c r="N22">
        <v>-6711.4872250889202</v>
      </c>
      <c r="O22">
        <v>95.878388929841705</v>
      </c>
      <c r="Q22">
        <v>0</v>
      </c>
      <c r="R22">
        <v>-0.18523798142346601</v>
      </c>
      <c r="S22">
        <v>0.132343122466824</v>
      </c>
      <c r="T22">
        <v>0.105609565704744</v>
      </c>
      <c r="U22">
        <v>0.65657941159284705</v>
      </c>
      <c r="V22">
        <v>1.61994686178656</v>
      </c>
      <c r="W22">
        <v>1.62283097697339</v>
      </c>
    </row>
    <row r="23" spans="1:23">
      <c r="A23">
        <v>75</v>
      </c>
      <c r="B23">
        <v>413.9</v>
      </c>
      <c r="C23">
        <v>13200</v>
      </c>
      <c r="D23">
        <v>176</v>
      </c>
      <c r="E23">
        <v>285</v>
      </c>
      <c r="F23">
        <v>-8178</v>
      </c>
      <c r="G23">
        <v>109</v>
      </c>
      <c r="I23">
        <v>75</v>
      </c>
      <c r="J23">
        <v>414.49714754822998</v>
      </c>
      <c r="K23">
        <v>13189.839574403</v>
      </c>
      <c r="L23">
        <v>175.864527658707</v>
      </c>
      <c r="M23">
        <v>283.31972590299802</v>
      </c>
      <c r="N23">
        <v>-8059.1398683218504</v>
      </c>
      <c r="O23">
        <v>107.455198244291</v>
      </c>
      <c r="Q23">
        <v>0</v>
      </c>
      <c r="R23">
        <v>-0.14427338686404401</v>
      </c>
      <c r="S23">
        <v>7.6972921189101706E-2</v>
      </c>
      <c r="T23">
        <v>7.6972921189105203E-2</v>
      </c>
      <c r="U23">
        <v>0.58956985859698796</v>
      </c>
      <c r="V23">
        <v>1.4534132022272599</v>
      </c>
      <c r="W23">
        <v>1.41724931716387</v>
      </c>
    </row>
    <row r="24" spans="1:23">
      <c r="A24">
        <v>80</v>
      </c>
      <c r="B24">
        <v>444.5</v>
      </c>
      <c r="C24">
        <v>15340</v>
      </c>
      <c r="D24">
        <v>191.8</v>
      </c>
      <c r="E24">
        <v>312.7</v>
      </c>
      <c r="F24">
        <v>-9672</v>
      </c>
      <c r="G24">
        <v>120.9</v>
      </c>
      <c r="I24">
        <v>80</v>
      </c>
      <c r="J24">
        <v>443.998192106293</v>
      </c>
      <c r="K24">
        <v>15338.352224210899</v>
      </c>
      <c r="L24">
        <v>191.729402802636</v>
      </c>
      <c r="M24">
        <v>311.04103264138001</v>
      </c>
      <c r="N24">
        <v>-9544.9303870995409</v>
      </c>
      <c r="O24">
        <v>119.311629838744</v>
      </c>
      <c r="Q24">
        <v>0</v>
      </c>
      <c r="R24">
        <v>0.11289266450084499</v>
      </c>
      <c r="S24">
        <v>1.07416935402913E-2</v>
      </c>
      <c r="T24">
        <v>3.6807714996624399E-2</v>
      </c>
      <c r="U24">
        <v>0.530530015548204</v>
      </c>
      <c r="V24">
        <v>1.31378838813543</v>
      </c>
      <c r="W24">
        <v>1.31378838813543</v>
      </c>
    </row>
    <row r="25" spans="1:23">
      <c r="A25">
        <v>85</v>
      </c>
      <c r="B25">
        <v>473.6</v>
      </c>
      <c r="C25">
        <v>17640</v>
      </c>
      <c r="D25">
        <v>207.5</v>
      </c>
      <c r="E25">
        <v>340.5</v>
      </c>
      <c r="F25">
        <v>-11310</v>
      </c>
      <c r="G25">
        <v>133</v>
      </c>
      <c r="I25">
        <v>85</v>
      </c>
      <c r="J25">
        <v>472.87650834771699</v>
      </c>
      <c r="K25">
        <v>17630.538975345899</v>
      </c>
      <c r="L25">
        <v>207.41810559230501</v>
      </c>
      <c r="M25">
        <v>338.824108743164</v>
      </c>
      <c r="N25">
        <v>-11169.510267823</v>
      </c>
      <c r="O25">
        <v>131.40600315085899</v>
      </c>
      <c r="Q25">
        <v>0</v>
      </c>
      <c r="R25">
        <v>0.15276428468800701</v>
      </c>
      <c r="S25">
        <v>5.3633926610284502E-2</v>
      </c>
      <c r="T25">
        <v>3.9467184431210403E-2</v>
      </c>
      <c r="U25">
        <v>0.49218539114104398</v>
      </c>
      <c r="V25">
        <v>1.2421726982930299</v>
      </c>
      <c r="W25">
        <v>1.1984938715342</v>
      </c>
    </row>
    <row r="26" spans="1:23">
      <c r="A26">
        <v>90</v>
      </c>
      <c r="B26">
        <v>501</v>
      </c>
      <c r="C26">
        <v>20080</v>
      </c>
      <c r="D26">
        <v>223.1</v>
      </c>
      <c r="E26">
        <v>368.4</v>
      </c>
      <c r="F26">
        <v>-13080</v>
      </c>
      <c r="G26">
        <v>145.30000000000001</v>
      </c>
      <c r="I26">
        <v>90</v>
      </c>
      <c r="J26">
        <v>499.51733260131698</v>
      </c>
      <c r="K26">
        <v>20059.420553795801</v>
      </c>
      <c r="L26">
        <v>222.88245059773101</v>
      </c>
      <c r="M26">
        <v>366.58295814208799</v>
      </c>
      <c r="N26">
        <v>-12933.045678992001</v>
      </c>
      <c r="O26">
        <v>143.70050754435599</v>
      </c>
      <c r="Q26">
        <v>0</v>
      </c>
      <c r="R26">
        <v>0.29594159654339203</v>
      </c>
      <c r="S26">
        <v>0.102487281893079</v>
      </c>
      <c r="T26">
        <v>9.7512058390006706E-2</v>
      </c>
      <c r="U26">
        <v>0.49322526001941702</v>
      </c>
      <c r="V26">
        <v>1.12350398324087</v>
      </c>
      <c r="W26">
        <v>1.1008206852329101</v>
      </c>
    </row>
    <row r="27" spans="1:23">
      <c r="A27">
        <v>95</v>
      </c>
      <c r="B27">
        <v>527.4</v>
      </c>
      <c r="C27">
        <v>22650</v>
      </c>
      <c r="D27">
        <v>238.4</v>
      </c>
      <c r="E27">
        <v>396.2</v>
      </c>
      <c r="F27">
        <v>-14990</v>
      </c>
      <c r="G27">
        <v>157.80000000000001</v>
      </c>
      <c r="I27">
        <v>95</v>
      </c>
      <c r="J27">
        <v>526.83081479666805</v>
      </c>
      <c r="K27">
        <v>22625.496546719602</v>
      </c>
      <c r="L27">
        <v>238.16312154441701</v>
      </c>
      <c r="M27">
        <v>394.32447082191197</v>
      </c>
      <c r="N27">
        <v>-14835.328181362</v>
      </c>
      <c r="O27">
        <v>156.16134927749499</v>
      </c>
      <c r="Q27">
        <v>0</v>
      </c>
      <c r="R27">
        <v>0.10792286752591899</v>
      </c>
      <c r="S27">
        <v>0.10818301669019501</v>
      </c>
      <c r="T27">
        <v>9.9361768281219606E-2</v>
      </c>
      <c r="U27">
        <v>0.47337939881053298</v>
      </c>
      <c r="V27">
        <v>1.0318333464841101</v>
      </c>
      <c r="W27">
        <v>1.0384351853643601</v>
      </c>
    </row>
    <row r="28" spans="1:23">
      <c r="A28">
        <v>96</v>
      </c>
      <c r="B28">
        <v>532.6</v>
      </c>
      <c r="C28">
        <v>23180</v>
      </c>
      <c r="D28">
        <v>241.4</v>
      </c>
      <c r="E28">
        <v>401.7</v>
      </c>
      <c r="F28">
        <v>-15390</v>
      </c>
      <c r="G28">
        <v>160.30000000000001</v>
      </c>
    </row>
    <row r="29" spans="1:23">
      <c r="A29" t="s">
        <v>37</v>
      </c>
    </row>
    <row r="30" spans="1:23">
      <c r="A30">
        <v>96</v>
      </c>
      <c r="B30">
        <v>532.9</v>
      </c>
      <c r="C30">
        <v>23180</v>
      </c>
      <c r="D30">
        <v>241.4</v>
      </c>
      <c r="E30">
        <v>401.7</v>
      </c>
      <c r="F30">
        <v>-15390</v>
      </c>
      <c r="G30">
        <v>160.30000000000001</v>
      </c>
    </row>
    <row r="31" spans="1:23">
      <c r="A31">
        <v>100</v>
      </c>
      <c r="B31">
        <v>555</v>
      </c>
      <c r="C31">
        <v>25350</v>
      </c>
      <c r="D31">
        <v>253.5</v>
      </c>
      <c r="E31">
        <v>423.9</v>
      </c>
      <c r="F31">
        <v>-17040</v>
      </c>
      <c r="G31">
        <v>170.4</v>
      </c>
      <c r="I31">
        <v>100</v>
      </c>
      <c r="J31">
        <v>554.25854630083302</v>
      </c>
      <c r="K31">
        <v>25328.219949463401</v>
      </c>
      <c r="L31">
        <v>253.282199494634</v>
      </c>
      <c r="M31">
        <v>422.04490328987202</v>
      </c>
      <c r="N31">
        <v>-16876.270379523699</v>
      </c>
      <c r="O31">
        <v>168.762703795237</v>
      </c>
      <c r="Q31">
        <v>0</v>
      </c>
      <c r="R31">
        <v>0.13359526111116701</v>
      </c>
      <c r="S31">
        <v>8.5917359118649297E-2</v>
      </c>
      <c r="T31">
        <v>8.5917359118648007E-2</v>
      </c>
      <c r="U31">
        <v>0.43762602267700801</v>
      </c>
      <c r="V31">
        <v>0.96085458025942505</v>
      </c>
      <c r="W31">
        <v>0.96085458025942805</v>
      </c>
    </row>
    <row r="32" spans="1:23">
      <c r="A32">
        <v>110</v>
      </c>
      <c r="B32">
        <v>608.9</v>
      </c>
      <c r="C32">
        <v>31170</v>
      </c>
      <c r="D32">
        <v>283.39999999999998</v>
      </c>
      <c r="E32">
        <v>479.4</v>
      </c>
      <c r="F32">
        <v>-21560</v>
      </c>
      <c r="G32">
        <v>196</v>
      </c>
      <c r="I32">
        <v>110</v>
      </c>
      <c r="J32">
        <v>608.83882403965299</v>
      </c>
      <c r="K32">
        <v>31151.009630825502</v>
      </c>
      <c r="L32">
        <v>283.190996643868</v>
      </c>
      <c r="M32">
        <v>477.50205160651001</v>
      </c>
      <c r="N32">
        <v>-21374.216045890498</v>
      </c>
      <c r="O32">
        <v>194.31105496264101</v>
      </c>
      <c r="Q32">
        <v>0</v>
      </c>
      <c r="R32">
        <v>1.0046963433566401E-2</v>
      </c>
      <c r="S32">
        <v>6.0925149741523799E-2</v>
      </c>
      <c r="T32">
        <v>7.3748537802108993E-2</v>
      </c>
      <c r="U32">
        <v>0.39590079129948702</v>
      </c>
      <c r="V32">
        <v>0.86170665171355998</v>
      </c>
      <c r="W32">
        <v>0.86170665171355298</v>
      </c>
    </row>
    <row r="33" spans="1:23">
      <c r="A33">
        <v>120</v>
      </c>
      <c r="B33">
        <v>660.3</v>
      </c>
      <c r="C33">
        <v>37520</v>
      </c>
      <c r="D33">
        <v>312.7</v>
      </c>
      <c r="E33">
        <v>534.6</v>
      </c>
      <c r="F33">
        <v>-26630</v>
      </c>
      <c r="G33">
        <v>221.9</v>
      </c>
      <c r="I33">
        <v>120</v>
      </c>
      <c r="J33">
        <v>659.70373241039204</v>
      </c>
      <c r="K33">
        <v>37494.0944983437</v>
      </c>
      <c r="L33">
        <v>312.45078748619801</v>
      </c>
      <c r="M33">
        <v>532.66675722025298</v>
      </c>
      <c r="N33">
        <v>-26425.916368086499</v>
      </c>
      <c r="O33">
        <v>220.215969734054</v>
      </c>
      <c r="Q33">
        <v>0</v>
      </c>
      <c r="R33">
        <v>9.0302527579503897E-2</v>
      </c>
      <c r="S33">
        <v>6.9044514009094907E-2</v>
      </c>
      <c r="T33">
        <v>7.9696998337624295E-2</v>
      </c>
      <c r="U33">
        <v>0.36162416381347101</v>
      </c>
      <c r="V33">
        <v>0.766367374815633</v>
      </c>
      <c r="W33">
        <v>0.75891404504057602</v>
      </c>
    </row>
    <row r="34" spans="1:23">
      <c r="A34">
        <v>130</v>
      </c>
      <c r="B34">
        <v>709.9</v>
      </c>
      <c r="C34">
        <v>44370</v>
      </c>
      <c r="D34">
        <v>341.3</v>
      </c>
      <c r="E34">
        <v>589.4</v>
      </c>
      <c r="F34">
        <v>-32250</v>
      </c>
      <c r="G34">
        <v>248</v>
      </c>
      <c r="I34">
        <v>130</v>
      </c>
      <c r="J34">
        <v>711.06254143751096</v>
      </c>
      <c r="K34">
        <v>44347.925867583297</v>
      </c>
      <c r="L34">
        <v>341.13789128910201</v>
      </c>
      <c r="M34">
        <v>587.50297202341096</v>
      </c>
      <c r="N34">
        <v>-32027.460495460102</v>
      </c>
      <c r="O34">
        <v>246.36508073430801</v>
      </c>
      <c r="Q34">
        <v>0</v>
      </c>
      <c r="R34">
        <v>-0.16376129560667299</v>
      </c>
      <c r="S34">
        <v>4.9750129404301E-2</v>
      </c>
      <c r="T34">
        <v>4.7497424816173001E-2</v>
      </c>
      <c r="U34">
        <v>0.321857478213251</v>
      </c>
      <c r="V34">
        <v>0.69004497531744602</v>
      </c>
      <c r="W34">
        <v>0.65924163939167901</v>
      </c>
    </row>
    <row r="35" spans="1:23">
      <c r="A35">
        <v>140</v>
      </c>
      <c r="B35">
        <v>758.5</v>
      </c>
      <c r="C35">
        <v>51720</v>
      </c>
      <c r="D35">
        <v>369.4</v>
      </c>
      <c r="E35">
        <v>643.79999999999995</v>
      </c>
      <c r="F35">
        <v>-38410</v>
      </c>
      <c r="G35">
        <v>274.39999999999998</v>
      </c>
      <c r="I35">
        <v>140</v>
      </c>
      <c r="J35">
        <v>758.29139583697702</v>
      </c>
      <c r="K35">
        <v>51687.517182789001</v>
      </c>
      <c r="L35">
        <v>369.19655130563598</v>
      </c>
      <c r="M35">
        <v>641.87785044623899</v>
      </c>
      <c r="N35">
        <v>-38175.381879684399</v>
      </c>
      <c r="O35">
        <v>272.68129914060302</v>
      </c>
      <c r="Q35">
        <v>0</v>
      </c>
      <c r="R35">
        <v>2.7502196838845298E-2</v>
      </c>
      <c r="S35">
        <v>6.2805137685430404E-2</v>
      </c>
      <c r="T35">
        <v>5.5075445144450702E-2</v>
      </c>
      <c r="U35">
        <v>0.29856314907739601</v>
      </c>
      <c r="V35">
        <v>0.61082561915005296</v>
      </c>
      <c r="W35">
        <v>0.62634870969266598</v>
      </c>
    </row>
    <row r="36" spans="1:23">
      <c r="A36">
        <v>150</v>
      </c>
      <c r="B36">
        <v>806.9</v>
      </c>
      <c r="C36">
        <v>59540</v>
      </c>
      <c r="D36">
        <v>397</v>
      </c>
      <c r="E36">
        <v>697.8</v>
      </c>
      <c r="F36">
        <v>-45120</v>
      </c>
      <c r="G36">
        <v>300.8</v>
      </c>
      <c r="I36">
        <v>150</v>
      </c>
      <c r="J36">
        <v>806.49145493941103</v>
      </c>
      <c r="K36">
        <v>59511.148804365002</v>
      </c>
      <c r="L36">
        <v>396.74099202910003</v>
      </c>
      <c r="M36">
        <v>695.83879714796399</v>
      </c>
      <c r="N36">
        <v>-44864.670767829703</v>
      </c>
      <c r="O36">
        <v>299.09780511886402</v>
      </c>
      <c r="Q36">
        <v>0</v>
      </c>
      <c r="R36">
        <v>5.0631436434372103E-2</v>
      </c>
      <c r="S36">
        <v>4.8456828409456303E-2</v>
      </c>
      <c r="T36">
        <v>6.5241302493681499E-2</v>
      </c>
      <c r="U36">
        <v>0.281055152197629</v>
      </c>
      <c r="V36">
        <v>0.56588925569651605</v>
      </c>
      <c r="W36">
        <v>0.56588925569652304</v>
      </c>
    </row>
    <row r="37" spans="1:23">
      <c r="A37">
        <v>160</v>
      </c>
      <c r="B37">
        <v>855.4</v>
      </c>
      <c r="C37">
        <v>67850</v>
      </c>
      <c r="D37">
        <v>424.1</v>
      </c>
      <c r="E37">
        <v>751.4</v>
      </c>
      <c r="F37">
        <v>-52370</v>
      </c>
      <c r="G37">
        <v>327.3</v>
      </c>
      <c r="I37">
        <v>160</v>
      </c>
      <c r="J37">
        <v>854.49490506282598</v>
      </c>
      <c r="K37">
        <v>67810.346994931693</v>
      </c>
      <c r="L37">
        <v>423.81466871832299</v>
      </c>
      <c r="M37">
        <v>749.38477470227497</v>
      </c>
      <c r="N37">
        <v>-52091.216957432298</v>
      </c>
      <c r="O37">
        <v>325.57010598395198</v>
      </c>
      <c r="Q37">
        <v>0</v>
      </c>
      <c r="R37">
        <v>0.10580955543298701</v>
      </c>
      <c r="S37">
        <v>5.8442159275323202E-2</v>
      </c>
      <c r="T37">
        <v>6.72792458563823E-2</v>
      </c>
      <c r="U37">
        <v>0.26819607369236598</v>
      </c>
      <c r="V37">
        <v>0.53233347826543298</v>
      </c>
      <c r="W37">
        <v>0.52853468256876901</v>
      </c>
    </row>
    <row r="38" spans="1:23">
      <c r="A38">
        <v>170</v>
      </c>
      <c r="B38">
        <v>903.8</v>
      </c>
      <c r="C38">
        <v>76650</v>
      </c>
      <c r="D38">
        <v>450.9</v>
      </c>
      <c r="E38">
        <v>804.7</v>
      </c>
      <c r="F38">
        <v>-60150</v>
      </c>
      <c r="G38">
        <v>353.8</v>
      </c>
      <c r="I38">
        <v>170</v>
      </c>
      <c r="J38">
        <v>904.95331035883498</v>
      </c>
      <c r="K38">
        <v>76611.591236466295</v>
      </c>
      <c r="L38">
        <v>450.65641903803697</v>
      </c>
      <c r="M38">
        <v>802.72697639333398</v>
      </c>
      <c r="N38">
        <v>-59851.994750400401</v>
      </c>
      <c r="O38">
        <v>352.07055735529701</v>
      </c>
      <c r="Q38">
        <v>0</v>
      </c>
      <c r="R38">
        <v>-0.12760681111259001</v>
      </c>
      <c r="S38">
        <v>5.0109280539733098E-2</v>
      </c>
      <c r="T38">
        <v>5.4021060537358098E-2</v>
      </c>
      <c r="U38">
        <v>0.24518747442101901</v>
      </c>
      <c r="V38">
        <v>0.49543682393932498</v>
      </c>
      <c r="W38">
        <v>0.48881928906246402</v>
      </c>
    </row>
    <row r="39" spans="1:23">
      <c r="A39">
        <v>180</v>
      </c>
      <c r="B39">
        <v>951.6</v>
      </c>
      <c r="C39">
        <v>85930</v>
      </c>
      <c r="D39">
        <v>477.4</v>
      </c>
      <c r="E39">
        <v>857.7</v>
      </c>
      <c r="F39">
        <v>-68460</v>
      </c>
      <c r="G39">
        <v>380.3</v>
      </c>
      <c r="I39">
        <v>180</v>
      </c>
      <c r="J39">
        <v>951.69941733243002</v>
      </c>
      <c r="K39">
        <v>85894.854874922603</v>
      </c>
      <c r="L39">
        <v>477.193638194014</v>
      </c>
      <c r="M39">
        <v>855.77934515331799</v>
      </c>
      <c r="N39">
        <v>-68145.427252674606</v>
      </c>
      <c r="O39">
        <v>378.58570695930302</v>
      </c>
      <c r="Q39">
        <v>0</v>
      </c>
      <c r="R39">
        <v>-1.0447386762354099E-2</v>
      </c>
      <c r="S39">
        <v>4.0899714974244099E-2</v>
      </c>
      <c r="T39">
        <v>4.3226184747664903E-2</v>
      </c>
      <c r="U39">
        <v>0.223930843731108</v>
      </c>
      <c r="V39">
        <v>0.45949860842144402</v>
      </c>
      <c r="W39">
        <v>0.45077387344103198</v>
      </c>
    </row>
    <row r="40" spans="1:23">
      <c r="A40">
        <v>190</v>
      </c>
      <c r="B40">
        <v>998.5</v>
      </c>
      <c r="C40">
        <v>95680</v>
      </c>
      <c r="D40">
        <v>503.6</v>
      </c>
      <c r="E40">
        <v>910.4</v>
      </c>
      <c r="F40">
        <v>-77300</v>
      </c>
      <c r="G40">
        <v>406.8</v>
      </c>
      <c r="I40">
        <v>190</v>
      </c>
      <c r="J40">
        <v>997.71325987149896</v>
      </c>
      <c r="K40">
        <v>95644.209990738702</v>
      </c>
      <c r="L40">
        <v>503.39057889862499</v>
      </c>
      <c r="M40">
        <v>908.48171586000103</v>
      </c>
      <c r="N40">
        <v>-76967.3160226615</v>
      </c>
      <c r="O40">
        <v>405.09113696137598</v>
      </c>
      <c r="Q40">
        <v>0</v>
      </c>
      <c r="R40">
        <v>7.8792201151831401E-2</v>
      </c>
      <c r="S40">
        <v>3.74059461342542E-2</v>
      </c>
      <c r="T40">
        <v>4.1584809645557601E-2</v>
      </c>
      <c r="U40">
        <v>0.210707836115827</v>
      </c>
      <c r="V40">
        <v>0.43038030703551899</v>
      </c>
      <c r="W40">
        <v>0.42007449327027102</v>
      </c>
    </row>
    <row r="41" spans="1:23">
      <c r="A41">
        <v>200</v>
      </c>
      <c r="B41">
        <v>1044</v>
      </c>
      <c r="C41">
        <v>105900</v>
      </c>
      <c r="D41">
        <v>529.5</v>
      </c>
      <c r="E41">
        <v>962.8</v>
      </c>
      <c r="F41">
        <v>-86670</v>
      </c>
      <c r="G41">
        <v>433.3</v>
      </c>
      <c r="I41">
        <v>200</v>
      </c>
      <c r="J41">
        <v>1042.5777728285</v>
      </c>
      <c r="K41">
        <v>105847.29613970401</v>
      </c>
      <c r="L41">
        <v>529.23648069852004</v>
      </c>
      <c r="M41">
        <v>960.80882627072901</v>
      </c>
      <c r="N41">
        <v>-86314.469114441803</v>
      </c>
      <c r="O41">
        <v>431.57234557220897</v>
      </c>
      <c r="Q41">
        <v>0</v>
      </c>
      <c r="R41">
        <v>0.13622865627320799</v>
      </c>
      <c r="S41">
        <v>4.97675734616689E-2</v>
      </c>
      <c r="T41">
        <v>4.9767573461662801E-2</v>
      </c>
      <c r="U41">
        <v>0.20681073216350801</v>
      </c>
      <c r="V41">
        <v>0.41021216748371803</v>
      </c>
      <c r="W41">
        <v>0.39872015411740003</v>
      </c>
    </row>
    <row r="42" spans="1:23">
      <c r="A42">
        <v>210</v>
      </c>
      <c r="B42">
        <v>1088</v>
      </c>
      <c r="C42">
        <v>116600</v>
      </c>
      <c r="D42">
        <v>555</v>
      </c>
      <c r="E42">
        <v>1015</v>
      </c>
      <c r="F42">
        <v>-96550</v>
      </c>
      <c r="G42">
        <v>459.8</v>
      </c>
      <c r="I42">
        <v>210</v>
      </c>
      <c r="J42">
        <v>1086.5272902746799</v>
      </c>
      <c r="K42">
        <v>116492.82145521999</v>
      </c>
      <c r="L42">
        <v>554.72772121533296</v>
      </c>
      <c r="M42">
        <v>1012.74296797893</v>
      </c>
      <c r="N42">
        <v>-96183.201820356204</v>
      </c>
      <c r="O42">
        <v>458.015246763601</v>
      </c>
      <c r="Q42">
        <v>0</v>
      </c>
      <c r="R42">
        <v>0.13535934975326699</v>
      </c>
      <c r="S42">
        <v>9.1919849725513203E-2</v>
      </c>
      <c r="T42">
        <v>4.9059240480444799E-2</v>
      </c>
      <c r="U42">
        <v>0.22236768680444599</v>
      </c>
      <c r="V42">
        <v>0.37990489864704602</v>
      </c>
      <c r="W42">
        <v>0.388158598607801</v>
      </c>
    </row>
    <row r="43" spans="1:23">
      <c r="A43">
        <v>220</v>
      </c>
      <c r="B43">
        <v>1131</v>
      </c>
      <c r="C43">
        <v>127700</v>
      </c>
      <c r="D43">
        <v>580.20000000000005</v>
      </c>
      <c r="E43">
        <v>1066</v>
      </c>
      <c r="F43">
        <v>-107000</v>
      </c>
      <c r="G43">
        <v>486.2</v>
      </c>
      <c r="I43">
        <v>220</v>
      </c>
      <c r="J43">
        <v>1130.30737354085</v>
      </c>
      <c r="K43">
        <v>127576.74070893</v>
      </c>
      <c r="L43">
        <v>579.89427594968402</v>
      </c>
      <c r="M43">
        <v>1064.2983046970701</v>
      </c>
      <c r="N43">
        <v>-106568.886324425</v>
      </c>
      <c r="O43">
        <v>484.40402874738999</v>
      </c>
      <c r="Q43">
        <v>0</v>
      </c>
      <c r="R43">
        <v>6.1240182064022403E-2</v>
      </c>
      <c r="S43">
        <v>9.6522545864799705E-2</v>
      </c>
      <c r="T43">
        <v>5.2692873201522598E-2</v>
      </c>
      <c r="U43">
        <v>0.15963370571523999</v>
      </c>
      <c r="V43">
        <v>0.402909977172004</v>
      </c>
      <c r="W43">
        <v>0.36938939790400299</v>
      </c>
    </row>
    <row r="44" spans="1:23">
      <c r="A44">
        <v>230</v>
      </c>
      <c r="B44">
        <v>1173</v>
      </c>
      <c r="C44">
        <v>139200</v>
      </c>
      <c r="D44">
        <v>605.1</v>
      </c>
      <c r="E44">
        <v>1118</v>
      </c>
      <c r="F44">
        <v>-117900</v>
      </c>
      <c r="G44">
        <v>512.5</v>
      </c>
      <c r="I44">
        <v>230</v>
      </c>
      <c r="J44">
        <v>1174.8599027237301</v>
      </c>
      <c r="K44">
        <v>139102.57709025301</v>
      </c>
      <c r="L44">
        <v>604.793813435885</v>
      </c>
      <c r="M44">
        <v>1115.5275413090901</v>
      </c>
      <c r="N44">
        <v>-117468.757410837</v>
      </c>
      <c r="O44">
        <v>510.73372787320699</v>
      </c>
      <c r="Q44">
        <v>0</v>
      </c>
      <c r="R44">
        <v>-0.158559481989371</v>
      </c>
      <c r="S44">
        <v>6.9987722518953299E-2</v>
      </c>
      <c r="T44">
        <v>5.0600985641163797E-2</v>
      </c>
      <c r="U44">
        <v>0.22115015124389101</v>
      </c>
      <c r="V44">
        <v>0.365769795727029</v>
      </c>
      <c r="W44">
        <v>0.34463846376430102</v>
      </c>
    </row>
    <row r="45" spans="1:23">
      <c r="A45">
        <v>240</v>
      </c>
      <c r="B45">
        <v>1216</v>
      </c>
      <c r="C45">
        <v>151100</v>
      </c>
      <c r="D45">
        <v>629.70000000000005</v>
      </c>
      <c r="E45">
        <v>1168</v>
      </c>
      <c r="F45">
        <v>-129300</v>
      </c>
      <c r="G45">
        <v>538.79999999999995</v>
      </c>
      <c r="I45">
        <v>240</v>
      </c>
      <c r="J45">
        <v>1217.0321945547901</v>
      </c>
      <c r="K45">
        <v>151065.92616394101</v>
      </c>
      <c r="L45">
        <v>629.44135901642403</v>
      </c>
      <c r="M45">
        <v>1166.4373672085301</v>
      </c>
      <c r="N45">
        <v>-128879.041966106</v>
      </c>
      <c r="O45">
        <v>536.99600819210798</v>
      </c>
      <c r="Q45">
        <v>0</v>
      </c>
      <c r="R45">
        <v>-8.4884420624276605E-2</v>
      </c>
      <c r="S45">
        <v>2.2550520223789099E-2</v>
      </c>
      <c r="T45">
        <v>4.1073683273888197E-2</v>
      </c>
      <c r="U45">
        <v>0.13378705406393299</v>
      </c>
      <c r="V45">
        <v>0.325566924898606</v>
      </c>
      <c r="W45">
        <v>0.33481659389220098</v>
      </c>
    </row>
    <row r="46" spans="1:23">
      <c r="A46">
        <v>250</v>
      </c>
      <c r="B46">
        <v>1258</v>
      </c>
      <c r="C46">
        <v>163500</v>
      </c>
      <c r="D46">
        <v>654</v>
      </c>
      <c r="E46">
        <v>1219</v>
      </c>
      <c r="F46">
        <v>-141200</v>
      </c>
      <c r="G46">
        <v>565</v>
      </c>
      <c r="I46">
        <v>250</v>
      </c>
      <c r="J46">
        <v>1258.6027788004999</v>
      </c>
      <c r="K46">
        <v>163444.10103071801</v>
      </c>
      <c r="L46">
        <v>653.77640412287303</v>
      </c>
      <c r="M46">
        <v>1216.9642601711</v>
      </c>
      <c r="N46">
        <v>-140796.964012057</v>
      </c>
      <c r="O46">
        <v>563.18785604822801</v>
      </c>
      <c r="Q46">
        <v>0</v>
      </c>
      <c r="R46">
        <v>-4.7915643919235598E-2</v>
      </c>
      <c r="S46">
        <v>3.4188972037717702E-2</v>
      </c>
      <c r="T46">
        <v>3.4188972037710499E-2</v>
      </c>
      <c r="U46">
        <v>0.167000806308335</v>
      </c>
      <c r="V46">
        <v>0.28543625208425899</v>
      </c>
      <c r="W46">
        <v>0.32073344279148103</v>
      </c>
    </row>
    <row r="47" spans="1:23">
      <c r="A47">
        <v>260</v>
      </c>
      <c r="B47">
        <v>1302</v>
      </c>
      <c r="C47">
        <v>176300</v>
      </c>
      <c r="D47">
        <v>678</v>
      </c>
      <c r="E47">
        <v>1269</v>
      </c>
      <c r="F47">
        <v>-153700</v>
      </c>
      <c r="G47">
        <v>591.1</v>
      </c>
      <c r="I47">
        <v>260</v>
      </c>
      <c r="J47">
        <v>1301.2822213760901</v>
      </c>
      <c r="K47">
        <v>176240.101963099</v>
      </c>
      <c r="L47">
        <v>677.84654601191903</v>
      </c>
      <c r="M47">
        <v>1267.14618325109</v>
      </c>
      <c r="N47">
        <v>-153217.905682185</v>
      </c>
      <c r="O47">
        <v>589.29963723917399</v>
      </c>
      <c r="Q47">
        <v>0</v>
      </c>
      <c r="R47">
        <v>5.5128926567022403E-2</v>
      </c>
      <c r="S47">
        <v>3.3975063471854E-2</v>
      </c>
      <c r="T47">
        <v>2.26333315752635E-2</v>
      </c>
      <c r="U47">
        <v>0.14608485018962999</v>
      </c>
      <c r="V47">
        <v>0.31365928289835499</v>
      </c>
      <c r="W47">
        <v>0.30457837266554399</v>
      </c>
    </row>
    <row r="48" spans="1:23">
      <c r="A48">
        <v>270</v>
      </c>
      <c r="B48">
        <v>1345</v>
      </c>
      <c r="C48">
        <v>189500</v>
      </c>
      <c r="D48">
        <v>701.9</v>
      </c>
      <c r="E48">
        <v>1319</v>
      </c>
      <c r="F48">
        <v>-166600</v>
      </c>
      <c r="G48">
        <v>617.20000000000005</v>
      </c>
      <c r="I48">
        <v>270</v>
      </c>
      <c r="J48">
        <v>1345.6335920981901</v>
      </c>
      <c r="K48">
        <v>189474.68103047</v>
      </c>
      <c r="L48">
        <v>701.75807789063094</v>
      </c>
      <c r="M48">
        <v>1317.08998194889</v>
      </c>
      <c r="N48">
        <v>-166139.61409572899</v>
      </c>
      <c r="O48">
        <v>615.33190405825906</v>
      </c>
      <c r="Q48">
        <v>0</v>
      </c>
      <c r="R48">
        <v>-4.7107219196306303E-2</v>
      </c>
      <c r="S48">
        <v>1.33609337886238E-2</v>
      </c>
      <c r="T48">
        <v>2.02197049961872E-2</v>
      </c>
      <c r="U48">
        <v>0.14480804026604099</v>
      </c>
      <c r="V48">
        <v>0.27634207939376898</v>
      </c>
      <c r="W48">
        <v>0.30267270605004398</v>
      </c>
    </row>
    <row r="49" spans="1:23">
      <c r="A49">
        <v>273.14999999999998</v>
      </c>
      <c r="B49">
        <v>1359</v>
      </c>
      <c r="C49">
        <v>193800</v>
      </c>
      <c r="D49">
        <v>709.4</v>
      </c>
      <c r="E49">
        <v>1335</v>
      </c>
      <c r="F49">
        <v>-170800</v>
      </c>
      <c r="G49">
        <v>625.29999999999995</v>
      </c>
      <c r="I49">
        <v>273.14999999999998</v>
      </c>
      <c r="J49">
        <v>1359.60427387564</v>
      </c>
      <c r="K49">
        <v>193735.43066937901</v>
      </c>
      <c r="L49">
        <v>709.26388676324098</v>
      </c>
      <c r="M49">
        <v>1332.7790745945499</v>
      </c>
      <c r="N49">
        <v>-170313.17355612299</v>
      </c>
      <c r="O49">
        <v>623.51518783131496</v>
      </c>
      <c r="Q49">
        <v>0</v>
      </c>
      <c r="R49">
        <v>-4.4464597178025603E-2</v>
      </c>
      <c r="S49">
        <v>3.3317508060199501E-2</v>
      </c>
      <c r="T49">
        <v>1.9187092861400301E-2</v>
      </c>
      <c r="U49">
        <v>0.166361453591273</v>
      </c>
      <c r="V49">
        <v>0.28502719196500398</v>
      </c>
      <c r="W49">
        <v>0.28543293917873802</v>
      </c>
    </row>
    <row r="50" spans="1:23">
      <c r="A50">
        <v>280</v>
      </c>
      <c r="B50">
        <v>1389</v>
      </c>
      <c r="C50">
        <v>203200</v>
      </c>
      <c r="D50">
        <v>725.7</v>
      </c>
      <c r="E50">
        <v>1369</v>
      </c>
      <c r="F50">
        <v>-180100</v>
      </c>
      <c r="G50">
        <v>643.1</v>
      </c>
      <c r="I50">
        <v>280</v>
      </c>
      <c r="J50">
        <v>1390.03026960682</v>
      </c>
      <c r="K50">
        <v>203152.308206332</v>
      </c>
      <c r="L50">
        <v>725.54395787975898</v>
      </c>
      <c r="M50">
        <v>1366.8276224858801</v>
      </c>
      <c r="N50">
        <v>-179559.42608971501</v>
      </c>
      <c r="O50">
        <v>641.28366460612801</v>
      </c>
      <c r="Q50">
        <v>0</v>
      </c>
      <c r="R50">
        <v>-7.4173477813057401E-2</v>
      </c>
      <c r="S50">
        <v>2.3470370899289401E-2</v>
      </c>
      <c r="T50">
        <v>2.1502290235719E-2</v>
      </c>
      <c r="U50">
        <v>0.15868352915355799</v>
      </c>
      <c r="V50">
        <v>0.30015208788676201</v>
      </c>
      <c r="W50">
        <v>0.28243436384258502</v>
      </c>
    </row>
    <row r="51" spans="1:23">
      <c r="A51">
        <v>290</v>
      </c>
      <c r="B51">
        <v>1431</v>
      </c>
      <c r="C51">
        <v>217300</v>
      </c>
      <c r="D51">
        <v>749.3</v>
      </c>
      <c r="E51">
        <v>1418</v>
      </c>
      <c r="F51">
        <v>-194000</v>
      </c>
      <c r="G51">
        <v>669</v>
      </c>
      <c r="I51">
        <v>290</v>
      </c>
      <c r="J51">
        <v>1437.29051508217</v>
      </c>
      <c r="K51">
        <v>217288.91212977699</v>
      </c>
      <c r="L51">
        <v>749.27211079233598</v>
      </c>
      <c r="M51">
        <v>1416.4304625356999</v>
      </c>
      <c r="N51">
        <v>-193475.92200557599</v>
      </c>
      <c r="O51">
        <v>667.15835174336496</v>
      </c>
      <c r="Q51">
        <v>0</v>
      </c>
      <c r="R51">
        <v>-0.43958875486875199</v>
      </c>
      <c r="S51">
        <v>5.1025633789097196E-3</v>
      </c>
      <c r="T51">
        <v>3.7220349210320002E-3</v>
      </c>
      <c r="U51">
        <v>0.11068670411127</v>
      </c>
      <c r="V51">
        <v>0.270143296094848</v>
      </c>
      <c r="W51">
        <v>0.275283745386318</v>
      </c>
    </row>
    <row r="52" spans="1:23">
      <c r="A52">
        <v>298.14999999999998</v>
      </c>
      <c r="B52">
        <v>1466</v>
      </c>
      <c r="C52">
        <v>229100</v>
      </c>
      <c r="D52">
        <v>768.4</v>
      </c>
      <c r="E52">
        <v>1458</v>
      </c>
      <c r="F52">
        <v>-205700</v>
      </c>
      <c r="G52">
        <v>690</v>
      </c>
      <c r="I52">
        <v>298.14999999999998</v>
      </c>
      <c r="J52">
        <v>1475.80761514458</v>
      </c>
      <c r="K52">
        <v>229159.78701045099</v>
      </c>
      <c r="L52">
        <v>768.60569180094399</v>
      </c>
      <c r="M52">
        <v>1456.79764556685</v>
      </c>
      <c r="N52">
        <v>-205184.431015307</v>
      </c>
      <c r="O52">
        <v>688.19195376591495</v>
      </c>
      <c r="Q52">
        <v>0</v>
      </c>
      <c r="R52">
        <v>-0.66900512582406002</v>
      </c>
      <c r="S52">
        <v>-2.6096468988041899E-2</v>
      </c>
      <c r="T52">
        <v>-2.6768844474827899E-2</v>
      </c>
      <c r="U52">
        <v>8.2466010503463597E-2</v>
      </c>
      <c r="V52">
        <v>0.25064121764338798</v>
      </c>
      <c r="W52">
        <v>0.26203568609926597</v>
      </c>
    </row>
    <row r="53" spans="1:23">
      <c r="A53">
        <v>300</v>
      </c>
      <c r="B53">
        <v>1474</v>
      </c>
      <c r="C53">
        <v>231800</v>
      </c>
      <c r="D53">
        <v>772.7</v>
      </c>
      <c r="E53">
        <v>1468</v>
      </c>
      <c r="F53">
        <v>-208400</v>
      </c>
      <c r="G53">
        <v>694.8</v>
      </c>
      <c r="I53">
        <v>300</v>
      </c>
      <c r="J53">
        <v>1484.5507605575201</v>
      </c>
      <c r="K53">
        <v>231898.118507976</v>
      </c>
      <c r="L53">
        <v>772.99372835992006</v>
      </c>
      <c r="M53">
        <v>1465.95365218286</v>
      </c>
      <c r="N53">
        <v>-207887.97714688201</v>
      </c>
      <c r="O53">
        <v>692.95992382294105</v>
      </c>
      <c r="Q53">
        <v>0</v>
      </c>
      <c r="R53">
        <v>-0.71579108259975099</v>
      </c>
      <c r="S53">
        <v>-4.2328950809357502E-2</v>
      </c>
      <c r="T53">
        <v>-3.8013247045455799E-2</v>
      </c>
      <c r="U53">
        <v>0.139396990268255</v>
      </c>
      <c r="V53">
        <v>0.24569234794504</v>
      </c>
      <c r="W53">
        <v>0.26483537378500599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1464B-2B88-423F-92EA-F221D5517F04}">
  <dimension ref="A1:W53"/>
  <sheetViews>
    <sheetView topLeftCell="A25" workbookViewId="0"/>
  </sheetViews>
  <sheetFormatPr defaultRowHeight="14.25"/>
  <sheetData>
    <row r="1" spans="1:23" ht="15">
      <c r="A1" s="31" t="s">
        <v>76</v>
      </c>
    </row>
    <row r="2" spans="1:23">
      <c r="A2" t="s">
        <v>18</v>
      </c>
      <c r="I2" t="s">
        <v>19</v>
      </c>
    </row>
    <row r="3" spans="1:23">
      <c r="A3" t="s">
        <v>14</v>
      </c>
      <c r="B3" t="s">
        <v>15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I3" t="s">
        <v>14</v>
      </c>
      <c r="J3" t="s">
        <v>15</v>
      </c>
      <c r="K3" t="s">
        <v>20</v>
      </c>
      <c r="L3" t="s">
        <v>21</v>
      </c>
      <c r="M3" t="s">
        <v>22</v>
      </c>
      <c r="N3" t="s">
        <v>23</v>
      </c>
      <c r="O3" t="s">
        <v>24</v>
      </c>
      <c r="Q3" t="s">
        <v>25</v>
      </c>
      <c r="R3" t="s">
        <v>26</v>
      </c>
      <c r="S3" t="s">
        <v>27</v>
      </c>
      <c r="T3" t="s">
        <v>28</v>
      </c>
      <c r="U3" t="s">
        <v>29</v>
      </c>
      <c r="V3" t="s">
        <v>30</v>
      </c>
      <c r="W3" t="s">
        <v>31</v>
      </c>
    </row>
    <row r="4" spans="1:23">
      <c r="A4" t="s">
        <v>32</v>
      </c>
      <c r="B4" t="s">
        <v>33</v>
      </c>
      <c r="C4" t="s">
        <v>34</v>
      </c>
      <c r="D4" t="s">
        <v>33</v>
      </c>
      <c r="E4" t="s">
        <v>33</v>
      </c>
      <c r="F4" t="s">
        <v>34</v>
      </c>
      <c r="G4" t="s">
        <v>33</v>
      </c>
      <c r="I4" t="s">
        <v>32</v>
      </c>
      <c r="J4" t="s">
        <v>33</v>
      </c>
      <c r="K4" t="s">
        <v>34</v>
      </c>
      <c r="L4" t="s">
        <v>33</v>
      </c>
      <c r="M4" t="s">
        <v>33</v>
      </c>
      <c r="N4" t="s">
        <v>34</v>
      </c>
      <c r="O4" t="s">
        <v>33</v>
      </c>
      <c r="Q4" t="s">
        <v>9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</row>
    <row r="5" spans="1:23">
      <c r="A5">
        <v>0</v>
      </c>
      <c r="B5">
        <v>0</v>
      </c>
      <c r="C5">
        <v>0</v>
      </c>
      <c r="D5" t="s">
        <v>35</v>
      </c>
      <c r="E5">
        <v>0</v>
      </c>
      <c r="F5">
        <v>0</v>
      </c>
      <c r="G5" t="s">
        <v>35</v>
      </c>
      <c r="I5">
        <v>0</v>
      </c>
      <c r="J5">
        <v>0</v>
      </c>
      <c r="K5">
        <v>0</v>
      </c>
      <c r="L5" t="s">
        <v>35</v>
      </c>
      <c r="M5">
        <v>0</v>
      </c>
      <c r="N5">
        <v>0</v>
      </c>
      <c r="O5" t="s">
        <v>35</v>
      </c>
    </row>
    <row r="6" spans="1:23">
      <c r="A6">
        <v>5</v>
      </c>
      <c r="B6">
        <v>1.1492599999999999</v>
      </c>
      <c r="C6">
        <v>3.5051000000000001</v>
      </c>
      <c r="D6">
        <v>0.70101999999999998</v>
      </c>
      <c r="E6">
        <v>2.3512599999999999</v>
      </c>
      <c r="F6">
        <v>-8.2512000000000008</v>
      </c>
      <c r="G6">
        <v>1.6502399999999999</v>
      </c>
      <c r="I6">
        <v>5</v>
      </c>
      <c r="J6">
        <v>1.1912257874615799</v>
      </c>
      <c r="K6">
        <v>2.9037013898177899</v>
      </c>
      <c r="L6">
        <v>0.58074027796355798</v>
      </c>
      <c r="M6">
        <v>1.0100484202293101</v>
      </c>
      <c r="N6">
        <v>-2.1465407113288002</v>
      </c>
      <c r="O6">
        <v>0.42930814226575997</v>
      </c>
      <c r="Q6">
        <v>0</v>
      </c>
      <c r="R6">
        <v>-3.6515486018471699</v>
      </c>
      <c r="S6">
        <v>17.157816044683599</v>
      </c>
      <c r="T6">
        <v>17.157816044683599</v>
      </c>
      <c r="U6">
        <v>57.042248827040801</v>
      </c>
      <c r="V6">
        <v>73.985108695355805</v>
      </c>
      <c r="W6">
        <v>73.985108695355706</v>
      </c>
    </row>
    <row r="7" spans="1:23">
      <c r="A7">
        <v>9.5</v>
      </c>
      <c r="B7">
        <v>11.7386</v>
      </c>
      <c r="C7">
        <v>27.584700000000002</v>
      </c>
      <c r="D7">
        <v>2.9036499999999998</v>
      </c>
      <c r="E7">
        <v>5.4309000000000003</v>
      </c>
      <c r="F7">
        <v>-24.008900000000001</v>
      </c>
      <c r="G7">
        <v>2.52725</v>
      </c>
    </row>
    <row r="8" spans="1:23">
      <c r="A8" t="s">
        <v>36</v>
      </c>
    </row>
    <row r="9" spans="1:23">
      <c r="A9">
        <v>9.5</v>
      </c>
      <c r="B9">
        <v>11.7315</v>
      </c>
      <c r="C9">
        <v>27.584700000000002</v>
      </c>
      <c r="D9">
        <v>2.9036499999999998</v>
      </c>
      <c r="E9">
        <v>5.4309000000000003</v>
      </c>
      <c r="F9">
        <v>-24.008900000000001</v>
      </c>
      <c r="G9">
        <v>2.52725</v>
      </c>
    </row>
    <row r="10" spans="1:23">
      <c r="A10">
        <v>10</v>
      </c>
      <c r="B10">
        <v>13.553699999999999</v>
      </c>
      <c r="C10">
        <v>33.9026</v>
      </c>
      <c r="D10">
        <v>3.3902600000000001</v>
      </c>
      <c r="E10">
        <v>6.07864</v>
      </c>
      <c r="F10">
        <v>-26.883700000000001</v>
      </c>
      <c r="G10">
        <v>2.6883699999999999</v>
      </c>
      <c r="I10">
        <v>10</v>
      </c>
      <c r="J10">
        <v>13.7158157209096</v>
      </c>
      <c r="K10">
        <v>33.310295417905301</v>
      </c>
      <c r="L10">
        <v>3.3310295417905298</v>
      </c>
      <c r="M10">
        <v>4.7262362506146101</v>
      </c>
      <c r="N10">
        <v>-13.952067088240801</v>
      </c>
      <c r="O10">
        <v>1.39520670882408</v>
      </c>
      <c r="Q10">
        <v>0</v>
      </c>
      <c r="R10">
        <v>-1.19609937441212</v>
      </c>
      <c r="S10">
        <v>1.7470771625027199</v>
      </c>
      <c r="T10">
        <v>1.7470771625027199</v>
      </c>
      <c r="U10">
        <v>22.2484593492192</v>
      </c>
      <c r="V10">
        <v>48.102132190729499</v>
      </c>
      <c r="W10">
        <v>48.102132190729499</v>
      </c>
    </row>
    <row r="11" spans="1:23">
      <c r="A11">
        <v>15</v>
      </c>
      <c r="B11">
        <v>34.664900000000003</v>
      </c>
      <c r="C11">
        <v>152.78100000000001</v>
      </c>
      <c r="D11">
        <v>10.1854</v>
      </c>
      <c r="E11">
        <v>15.43</v>
      </c>
      <c r="F11">
        <v>-78.669200000000004</v>
      </c>
      <c r="G11">
        <v>5.2446200000000003</v>
      </c>
      <c r="I11">
        <v>15</v>
      </c>
      <c r="J11">
        <v>34.526777719050102</v>
      </c>
      <c r="K11">
        <v>153.372617055272</v>
      </c>
      <c r="L11">
        <v>10.2248411370181</v>
      </c>
      <c r="M11">
        <v>14.1607462340762</v>
      </c>
      <c r="N11">
        <v>-59.0385764558701</v>
      </c>
      <c r="O11">
        <v>3.9359050970580101</v>
      </c>
      <c r="Q11">
        <v>0</v>
      </c>
      <c r="R11">
        <v>0.39844996220932599</v>
      </c>
      <c r="S11">
        <v>-0.38723208728367797</v>
      </c>
      <c r="T11">
        <v>-0.38723208728368402</v>
      </c>
      <c r="U11">
        <v>8.2258831232909504</v>
      </c>
      <c r="V11">
        <v>24.953378887963499</v>
      </c>
      <c r="W11">
        <v>24.9534742830174</v>
      </c>
    </row>
    <row r="12" spans="1:23">
      <c r="A12">
        <v>20</v>
      </c>
      <c r="B12">
        <v>58.514800000000001</v>
      </c>
      <c r="C12">
        <v>384.83199999999999</v>
      </c>
      <c r="D12">
        <v>19.241599999999998</v>
      </c>
      <c r="E12">
        <v>28.6173</v>
      </c>
      <c r="F12">
        <v>-187.51400000000001</v>
      </c>
      <c r="G12">
        <v>9.3757099999999998</v>
      </c>
      <c r="I12">
        <v>20</v>
      </c>
      <c r="J12">
        <v>58.018651081359401</v>
      </c>
      <c r="K12">
        <v>383.22754521568697</v>
      </c>
      <c r="L12">
        <v>19.161377260784398</v>
      </c>
      <c r="M12">
        <v>27.214481765111898</v>
      </c>
      <c r="N12">
        <v>-161.06209008654901</v>
      </c>
      <c r="O12">
        <v>8.0531045043274894</v>
      </c>
      <c r="Q12">
        <v>0</v>
      </c>
      <c r="R12">
        <v>0.84790329735481995</v>
      </c>
      <c r="S12">
        <v>0.416923432643869</v>
      </c>
      <c r="T12">
        <v>0.41692343264385401</v>
      </c>
      <c r="U12">
        <v>4.9019936712691301</v>
      </c>
      <c r="V12">
        <v>14.106631991984599</v>
      </c>
      <c r="W12">
        <v>14.106723604639001</v>
      </c>
    </row>
    <row r="13" spans="1:23">
      <c r="A13">
        <v>25</v>
      </c>
      <c r="B13">
        <v>84.831599999999995</v>
      </c>
      <c r="C13">
        <v>742.01300000000003</v>
      </c>
      <c r="D13">
        <v>29.680499999999999</v>
      </c>
      <c r="E13">
        <v>44.448900000000002</v>
      </c>
      <c r="F13">
        <v>-369.209</v>
      </c>
      <c r="G13">
        <v>14.7683</v>
      </c>
      <c r="I13">
        <v>25</v>
      </c>
      <c r="J13">
        <v>85.495570193192194</v>
      </c>
      <c r="K13">
        <v>739.44912210727205</v>
      </c>
      <c r="L13">
        <v>29.5779648842909</v>
      </c>
      <c r="M13">
        <v>42.987405646868602</v>
      </c>
      <c r="N13">
        <v>-335.23601906444202</v>
      </c>
      <c r="O13">
        <v>13.409440762577701</v>
      </c>
      <c r="Q13">
        <v>0</v>
      </c>
      <c r="R13">
        <v>-0.78269205483838999</v>
      </c>
      <c r="S13">
        <v>0.34553005038017098</v>
      </c>
      <c r="T13">
        <v>0.34546289890364101</v>
      </c>
      <c r="U13">
        <v>3.2880326692705002</v>
      </c>
      <c r="V13">
        <v>9.2015581785809992</v>
      </c>
      <c r="W13">
        <v>9.2011892866632206</v>
      </c>
    </row>
    <row r="14" spans="1:23">
      <c r="A14">
        <v>30</v>
      </c>
      <c r="B14">
        <v>114.21599999999999</v>
      </c>
      <c r="C14">
        <v>1238.31</v>
      </c>
      <c r="D14">
        <v>41.277099999999997</v>
      </c>
      <c r="E14">
        <v>62.464799999999997</v>
      </c>
      <c r="F14">
        <v>-635.63099999999997</v>
      </c>
      <c r="G14">
        <v>21.1877</v>
      </c>
      <c r="I14">
        <v>30</v>
      </c>
      <c r="J14">
        <v>114.042162182086</v>
      </c>
      <c r="K14">
        <v>1233.6953926515901</v>
      </c>
      <c r="L14">
        <v>41.123179755053002</v>
      </c>
      <c r="M14">
        <v>60.914993091900598</v>
      </c>
      <c r="N14">
        <v>-593.754400105429</v>
      </c>
      <c r="O14">
        <v>19.7918133368476</v>
      </c>
      <c r="Q14">
        <v>0</v>
      </c>
      <c r="R14">
        <v>0.15220093324379699</v>
      </c>
      <c r="S14">
        <v>0.37265364475857299</v>
      </c>
      <c r="T14">
        <v>0.37289500703052098</v>
      </c>
      <c r="U14">
        <v>2.4810884019469399</v>
      </c>
      <c r="V14">
        <v>6.5881934478605997</v>
      </c>
      <c r="W14">
        <v>6.5881934478606103</v>
      </c>
    </row>
    <row r="15" spans="1:23">
      <c r="A15">
        <v>35</v>
      </c>
      <c r="B15">
        <v>146.50200000000001</v>
      </c>
      <c r="C15">
        <v>1889.06</v>
      </c>
      <c r="D15">
        <v>53.972999999999999</v>
      </c>
      <c r="E15">
        <v>82.463399999999993</v>
      </c>
      <c r="F15">
        <v>-997.16200000000003</v>
      </c>
      <c r="G15">
        <v>28.490300000000001</v>
      </c>
      <c r="I15">
        <v>35</v>
      </c>
      <c r="J15">
        <v>147.30651282138001</v>
      </c>
      <c r="K15">
        <v>1887.1386388424</v>
      </c>
      <c r="L15">
        <v>53.918246824068703</v>
      </c>
      <c r="M15">
        <v>80.982078540572999</v>
      </c>
      <c r="N15">
        <v>-947.23411007764798</v>
      </c>
      <c r="O15">
        <v>27.0638317165042</v>
      </c>
      <c r="Q15">
        <v>0</v>
      </c>
      <c r="R15">
        <v>-0.54914801257336299</v>
      </c>
      <c r="S15">
        <v>0.101709906386937</v>
      </c>
      <c r="T15">
        <v>0.10144549298951699</v>
      </c>
      <c r="U15">
        <v>1.7963380838371601</v>
      </c>
      <c r="V15">
        <v>5.0069988549855804</v>
      </c>
      <c r="W15">
        <v>5.0068559597327997</v>
      </c>
    </row>
    <row r="16" spans="1:23">
      <c r="A16">
        <v>40</v>
      </c>
      <c r="B16">
        <v>180.72900000000001</v>
      </c>
      <c r="C16">
        <v>2706.58</v>
      </c>
      <c r="D16">
        <v>67.664599999999993</v>
      </c>
      <c r="E16">
        <v>104.246</v>
      </c>
      <c r="F16">
        <v>-1463.24</v>
      </c>
      <c r="G16">
        <v>36.581000000000003</v>
      </c>
      <c r="I16">
        <v>40</v>
      </c>
      <c r="J16">
        <v>180.39295929673801</v>
      </c>
      <c r="K16">
        <v>2704.2041870276398</v>
      </c>
      <c r="L16">
        <v>67.605104675690995</v>
      </c>
      <c r="M16">
        <v>102.740399856251</v>
      </c>
      <c r="N16">
        <v>-1405.4118072224301</v>
      </c>
      <c r="O16">
        <v>35.135295180560703</v>
      </c>
      <c r="Q16">
        <v>0</v>
      </c>
      <c r="R16">
        <v>0.18593623782676999</v>
      </c>
      <c r="S16">
        <v>8.7779152005755604E-2</v>
      </c>
      <c r="T16">
        <v>8.7926810043843395E-2</v>
      </c>
      <c r="U16">
        <v>1.4442761772616499</v>
      </c>
      <c r="V16">
        <v>3.9520647861984299</v>
      </c>
      <c r="W16">
        <v>3.9520647861984299</v>
      </c>
    </row>
    <row r="17" spans="1:23">
      <c r="A17">
        <v>45</v>
      </c>
      <c r="B17">
        <v>215.672</v>
      </c>
      <c r="C17">
        <v>3697.53</v>
      </c>
      <c r="D17">
        <v>82.167199999999994</v>
      </c>
      <c r="E17">
        <v>127.548</v>
      </c>
      <c r="F17">
        <v>-2042.15</v>
      </c>
      <c r="G17">
        <v>45.3812</v>
      </c>
      <c r="I17">
        <v>45</v>
      </c>
      <c r="J17">
        <v>214.00879973086899</v>
      </c>
      <c r="K17">
        <v>3690.87882507022</v>
      </c>
      <c r="L17">
        <v>82.019529446005095</v>
      </c>
      <c r="M17">
        <v>125.93831417195101</v>
      </c>
      <c r="N17">
        <v>-1976.34531266759</v>
      </c>
      <c r="O17">
        <v>43.918784725946402</v>
      </c>
      <c r="Q17">
        <v>0</v>
      </c>
      <c r="R17">
        <v>0.77117116228823002</v>
      </c>
      <c r="S17">
        <v>0.179881567688987</v>
      </c>
      <c r="T17">
        <v>0.17971958883214301</v>
      </c>
      <c r="U17">
        <v>1.26202357390818</v>
      </c>
      <c r="V17">
        <v>3.2223238906254799</v>
      </c>
      <c r="W17">
        <v>3.2225134506216602</v>
      </c>
    </row>
    <row r="18" spans="1:23">
      <c r="A18">
        <v>50</v>
      </c>
      <c r="B18">
        <v>250.358</v>
      </c>
      <c r="C18">
        <v>4862.8500000000004</v>
      </c>
      <c r="D18">
        <v>97.256900000000002</v>
      </c>
      <c r="E18">
        <v>152.072</v>
      </c>
      <c r="F18">
        <v>-2740.76</v>
      </c>
      <c r="G18">
        <v>54.815199999999997</v>
      </c>
      <c r="I18">
        <v>50</v>
      </c>
      <c r="J18">
        <v>250.30566142321999</v>
      </c>
      <c r="K18">
        <v>4853.0238294225901</v>
      </c>
      <c r="L18">
        <v>97.060476588451905</v>
      </c>
      <c r="M18">
        <v>150.384153038459</v>
      </c>
      <c r="N18">
        <v>-2666.1838225003498</v>
      </c>
      <c r="O18">
        <v>53.323676450007</v>
      </c>
      <c r="Q18">
        <v>0</v>
      </c>
      <c r="R18">
        <v>2.0905494044148799E-2</v>
      </c>
      <c r="S18">
        <v>0.202066084238709</v>
      </c>
      <c r="T18">
        <v>0.20196347153573599</v>
      </c>
      <c r="U18">
        <v>1.10989989053933</v>
      </c>
      <c r="V18">
        <v>2.72100357198905</v>
      </c>
      <c r="W18">
        <v>2.72100357198903</v>
      </c>
    </row>
    <row r="19" spans="1:23">
      <c r="A19">
        <v>55</v>
      </c>
      <c r="B19">
        <v>284.31200000000001</v>
      </c>
      <c r="C19">
        <v>6199.86</v>
      </c>
      <c r="D19">
        <v>112.72499999999999</v>
      </c>
      <c r="E19">
        <v>177.53299999999999</v>
      </c>
      <c r="F19">
        <v>-3564.43</v>
      </c>
      <c r="G19">
        <v>64.807900000000004</v>
      </c>
      <c r="I19">
        <v>55</v>
      </c>
      <c r="J19">
        <v>284.45467875636399</v>
      </c>
      <c r="K19">
        <v>6189.6564571361196</v>
      </c>
      <c r="L19">
        <v>112.53920831156501</v>
      </c>
      <c r="M19">
        <v>175.826938521144</v>
      </c>
      <c r="N19">
        <v>-3480.82516152683</v>
      </c>
      <c r="O19">
        <v>63.287730209578797</v>
      </c>
      <c r="Q19">
        <v>0</v>
      </c>
      <c r="R19">
        <v>-5.0183867147671299E-2</v>
      </c>
      <c r="S19">
        <v>0.16457698825250699</v>
      </c>
      <c r="T19">
        <v>0.16481853043604899</v>
      </c>
      <c r="U19">
        <v>0.96098273495922504</v>
      </c>
      <c r="V19">
        <v>2.3455317813272401</v>
      </c>
      <c r="W19">
        <v>2.3456550673932299</v>
      </c>
    </row>
    <row r="20" spans="1:23">
      <c r="A20">
        <v>60</v>
      </c>
      <c r="B20">
        <v>317.51499999999999</v>
      </c>
      <c r="C20">
        <v>7704.7</v>
      </c>
      <c r="D20">
        <v>128.41200000000001</v>
      </c>
      <c r="E20">
        <v>203.69900000000001</v>
      </c>
      <c r="F20">
        <v>-4517.26</v>
      </c>
      <c r="G20">
        <v>75.287599999999998</v>
      </c>
      <c r="I20">
        <v>60</v>
      </c>
      <c r="J20">
        <v>317.45587965921101</v>
      </c>
      <c r="K20">
        <v>7694.3494789235701</v>
      </c>
      <c r="L20">
        <v>128.239157982059</v>
      </c>
      <c r="M20">
        <v>201.98284011724101</v>
      </c>
      <c r="N20">
        <v>-4424.6209281109004</v>
      </c>
      <c r="O20">
        <v>73.7436821351818</v>
      </c>
      <c r="Q20">
        <v>0</v>
      </c>
      <c r="R20">
        <v>1.8619700104898902E-2</v>
      </c>
      <c r="S20">
        <v>0.134340351686947</v>
      </c>
      <c r="T20">
        <v>0.13459958410460901</v>
      </c>
      <c r="U20">
        <v>0.84249794194307803</v>
      </c>
      <c r="V20">
        <v>2.05078016074108</v>
      </c>
      <c r="W20">
        <v>2.0506934273614701</v>
      </c>
    </row>
    <row r="21" spans="1:23">
      <c r="A21">
        <v>65</v>
      </c>
      <c r="B21">
        <v>350.15</v>
      </c>
      <c r="C21">
        <v>9374.06</v>
      </c>
      <c r="D21">
        <v>144.21600000000001</v>
      </c>
      <c r="E21">
        <v>230.40600000000001</v>
      </c>
      <c r="F21">
        <v>-5602.32</v>
      </c>
      <c r="G21">
        <v>86.189599999999999</v>
      </c>
      <c r="I21">
        <v>65</v>
      </c>
      <c r="J21">
        <v>350.02731916621502</v>
      </c>
      <c r="K21">
        <v>9362.9425273038505</v>
      </c>
      <c r="L21">
        <v>144.045269650828</v>
      </c>
      <c r="M21">
        <v>228.67143979633099</v>
      </c>
      <c r="N21">
        <v>-5500.7010594577096</v>
      </c>
      <c r="O21">
        <v>84.626170145503195</v>
      </c>
      <c r="Q21">
        <v>0</v>
      </c>
      <c r="R21">
        <v>3.5036651087978501E-2</v>
      </c>
      <c r="S21">
        <v>0.118598266878403</v>
      </c>
      <c r="T21">
        <v>0.118385164733064</v>
      </c>
      <c r="U21">
        <v>0.75282770573170599</v>
      </c>
      <c r="V21">
        <v>1.8138724768004999</v>
      </c>
      <c r="W21">
        <v>1.81394258065564</v>
      </c>
    </row>
    <row r="22" spans="1:23">
      <c r="A22">
        <v>70</v>
      </c>
      <c r="B22">
        <v>382.32900000000001</v>
      </c>
      <c r="C22">
        <v>11205.5</v>
      </c>
      <c r="D22">
        <v>160.078</v>
      </c>
      <c r="E22">
        <v>257.53500000000003</v>
      </c>
      <c r="F22">
        <v>-6822.02</v>
      </c>
      <c r="G22">
        <v>97.457400000000007</v>
      </c>
      <c r="I22">
        <v>70</v>
      </c>
      <c r="J22">
        <v>383.00816480298101</v>
      </c>
      <c r="K22">
        <v>11195.1643359714</v>
      </c>
      <c r="L22">
        <v>159.93091908530599</v>
      </c>
      <c r="M22">
        <v>255.80930801514799</v>
      </c>
      <c r="N22">
        <v>-6711.4872250889202</v>
      </c>
      <c r="O22">
        <v>95.878388929841705</v>
      </c>
      <c r="Q22">
        <v>0</v>
      </c>
      <c r="R22">
        <v>-0.17763884062729099</v>
      </c>
      <c r="S22">
        <v>9.2237419379153293E-2</v>
      </c>
      <c r="T22">
        <v>9.1880779803161505E-2</v>
      </c>
      <c r="U22">
        <v>0.67008056569072405</v>
      </c>
      <c r="V22">
        <v>1.62023528091503</v>
      </c>
      <c r="W22">
        <v>1.62020643907829</v>
      </c>
    </row>
    <row r="23" spans="1:23">
      <c r="A23">
        <v>75</v>
      </c>
      <c r="B23">
        <v>413.90100000000001</v>
      </c>
      <c r="C23">
        <v>13196.4</v>
      </c>
      <c r="D23">
        <v>175.95099999999999</v>
      </c>
      <c r="E23">
        <v>284.99400000000003</v>
      </c>
      <c r="F23">
        <v>-8178.23</v>
      </c>
      <c r="G23">
        <v>109.04300000000001</v>
      </c>
      <c r="I23">
        <v>75</v>
      </c>
      <c r="J23">
        <v>414.49714754822998</v>
      </c>
      <c r="K23">
        <v>13189.839574403</v>
      </c>
      <c r="L23">
        <v>175.864527658707</v>
      </c>
      <c r="M23">
        <v>283.31972590299802</v>
      </c>
      <c r="N23">
        <v>-8059.1398683218504</v>
      </c>
      <c r="O23">
        <v>107.455198244291</v>
      </c>
      <c r="Q23">
        <v>0</v>
      </c>
      <c r="R23">
        <v>-0.14403143462573101</v>
      </c>
      <c r="S23">
        <v>4.9713752212429602E-2</v>
      </c>
      <c r="T23">
        <v>4.9145694706377599E-2</v>
      </c>
      <c r="U23">
        <v>0.58747696337517397</v>
      </c>
      <c r="V23">
        <v>1.45618467172169</v>
      </c>
      <c r="W23">
        <v>1.45612442404246</v>
      </c>
    </row>
    <row r="24" spans="1:23">
      <c r="A24">
        <v>80</v>
      </c>
      <c r="B24">
        <v>444.46100000000001</v>
      </c>
      <c r="C24">
        <v>15342.8</v>
      </c>
      <c r="D24">
        <v>191.785</v>
      </c>
      <c r="E24">
        <v>312.68900000000002</v>
      </c>
      <c r="F24">
        <v>-9672.36</v>
      </c>
      <c r="G24">
        <v>120.905</v>
      </c>
      <c r="I24">
        <v>80</v>
      </c>
      <c r="J24">
        <v>443.998192106293</v>
      </c>
      <c r="K24">
        <v>15338.352224210899</v>
      </c>
      <c r="L24">
        <v>191.729402802636</v>
      </c>
      <c r="M24">
        <v>311.04103264138001</v>
      </c>
      <c r="N24">
        <v>-9544.9303870995409</v>
      </c>
      <c r="O24">
        <v>119.311629838744</v>
      </c>
      <c r="Q24">
        <v>0</v>
      </c>
      <c r="R24">
        <v>0.104127897319735</v>
      </c>
      <c r="S24">
        <v>2.8989335643298201E-2</v>
      </c>
      <c r="T24">
        <v>2.89893356433042E-2</v>
      </c>
      <c r="U24">
        <v>0.52703080652637802</v>
      </c>
      <c r="V24">
        <v>1.3174614354765499</v>
      </c>
      <c r="W24">
        <v>1.3178695349702101</v>
      </c>
    </row>
    <row r="25" spans="1:23">
      <c r="A25">
        <v>85</v>
      </c>
      <c r="B25">
        <v>473.56</v>
      </c>
      <c r="C25">
        <v>17638.5</v>
      </c>
      <c r="D25">
        <v>207.512</v>
      </c>
      <c r="E25">
        <v>340.51600000000002</v>
      </c>
      <c r="F25">
        <v>-11305.3</v>
      </c>
      <c r="G25">
        <v>133.00399999999999</v>
      </c>
      <c r="I25">
        <v>85</v>
      </c>
      <c r="J25">
        <v>472.87650834771699</v>
      </c>
      <c r="K25">
        <v>17630.538975345899</v>
      </c>
      <c r="L25">
        <v>207.41810559230501</v>
      </c>
      <c r="M25">
        <v>338.824108743164</v>
      </c>
      <c r="N25">
        <v>-11169.510267823</v>
      </c>
      <c r="O25">
        <v>131.40600315085899</v>
      </c>
      <c r="Q25">
        <v>0</v>
      </c>
      <c r="R25">
        <v>0.14433052882050501</v>
      </c>
      <c r="S25">
        <v>4.5134363205795197E-2</v>
      </c>
      <c r="T25">
        <v>4.5247700226860102E-2</v>
      </c>
      <c r="U25">
        <v>0.496861015880392</v>
      </c>
      <c r="V25">
        <v>1.20111569066669</v>
      </c>
      <c r="W25">
        <v>1.2014652560377701</v>
      </c>
    </row>
    <row r="26" spans="1:23">
      <c r="A26">
        <v>90</v>
      </c>
      <c r="B26">
        <v>501.04300000000001</v>
      </c>
      <c r="C26">
        <v>20075.7</v>
      </c>
      <c r="D26">
        <v>223.06299999999999</v>
      </c>
      <c r="E26">
        <v>368.36900000000003</v>
      </c>
      <c r="F26">
        <v>-13077.6</v>
      </c>
      <c r="G26">
        <v>145.30600000000001</v>
      </c>
      <c r="I26">
        <v>90</v>
      </c>
      <c r="J26">
        <v>499.51733260131698</v>
      </c>
      <c r="K26">
        <v>20059.420553795801</v>
      </c>
      <c r="L26">
        <v>222.88245059773101</v>
      </c>
      <c r="M26">
        <v>366.58295814208799</v>
      </c>
      <c r="N26">
        <v>-12933.045678992001</v>
      </c>
      <c r="O26">
        <v>143.70050754435599</v>
      </c>
      <c r="Q26">
        <v>0</v>
      </c>
      <c r="R26">
        <v>0.30449829629041802</v>
      </c>
      <c r="S26">
        <v>8.1090304219185796E-2</v>
      </c>
      <c r="T26">
        <v>8.0940990782020703E-2</v>
      </c>
      <c r="U26">
        <v>0.48485129256576498</v>
      </c>
      <c r="V26">
        <v>1.1053581774018599</v>
      </c>
      <c r="W26">
        <v>1.1049044469212701</v>
      </c>
    </row>
    <row r="27" spans="1:23">
      <c r="A27">
        <v>95</v>
      </c>
      <c r="B27">
        <v>527.35199999999998</v>
      </c>
      <c r="C27">
        <v>22647</v>
      </c>
      <c r="D27">
        <v>238.38900000000001</v>
      </c>
      <c r="E27">
        <v>396.16699999999997</v>
      </c>
      <c r="F27">
        <v>-14988.9</v>
      </c>
      <c r="G27">
        <v>157.77799999999999</v>
      </c>
      <c r="I27">
        <v>95</v>
      </c>
      <c r="J27">
        <v>526.83081479666805</v>
      </c>
      <c r="K27">
        <v>22625.496546719602</v>
      </c>
      <c r="L27">
        <v>238.16312154441701</v>
      </c>
      <c r="M27">
        <v>394.32447082191197</v>
      </c>
      <c r="N27">
        <v>-14835.328181362</v>
      </c>
      <c r="O27">
        <v>156.16134927749499</v>
      </c>
      <c r="Q27">
        <v>0</v>
      </c>
      <c r="R27">
        <v>9.8830610926230897E-2</v>
      </c>
      <c r="S27">
        <v>9.4950559810700094E-2</v>
      </c>
      <c r="T27">
        <v>9.4752046269933596E-2</v>
      </c>
      <c r="U27">
        <v>0.46508900995976898</v>
      </c>
      <c r="V27">
        <v>1.02457030627977</v>
      </c>
      <c r="W27">
        <v>1.0246363387195501</v>
      </c>
    </row>
    <row r="28" spans="1:23">
      <c r="A28">
        <v>96</v>
      </c>
      <c r="B28">
        <v>532.55899999999997</v>
      </c>
      <c r="C28">
        <v>23176.9</v>
      </c>
      <c r="D28">
        <v>241.42599999999999</v>
      </c>
      <c r="E28">
        <v>401.71699999999998</v>
      </c>
      <c r="F28">
        <v>-15387.9</v>
      </c>
      <c r="G28">
        <v>160.29</v>
      </c>
    </row>
    <row r="29" spans="1:23">
      <c r="A29" t="s">
        <v>37</v>
      </c>
    </row>
    <row r="30" spans="1:23">
      <c r="A30">
        <v>96</v>
      </c>
      <c r="B30">
        <v>532.87900000000002</v>
      </c>
      <c r="C30">
        <v>23176.9</v>
      </c>
      <c r="D30">
        <v>241.42599999999999</v>
      </c>
      <c r="E30">
        <v>401.71699999999998</v>
      </c>
      <c r="F30">
        <v>-15387.9</v>
      </c>
      <c r="G30">
        <v>160.29</v>
      </c>
    </row>
    <row r="31" spans="1:23">
      <c r="A31">
        <v>100</v>
      </c>
      <c r="B31">
        <v>554.99300000000005</v>
      </c>
      <c r="C31">
        <v>25352.7</v>
      </c>
      <c r="D31">
        <v>253.52699999999999</v>
      </c>
      <c r="E31">
        <v>423.91899999999998</v>
      </c>
      <c r="F31">
        <v>-17039.2</v>
      </c>
      <c r="G31">
        <v>170.392</v>
      </c>
      <c r="I31">
        <v>100</v>
      </c>
      <c r="J31">
        <v>554.25854630083302</v>
      </c>
      <c r="K31">
        <v>25328.219949463401</v>
      </c>
      <c r="L31">
        <v>253.282199494634</v>
      </c>
      <c r="M31">
        <v>422.04490328987202</v>
      </c>
      <c r="N31">
        <v>-16876.270379523699</v>
      </c>
      <c r="O31">
        <v>168.762703795237</v>
      </c>
      <c r="Q31">
        <v>0</v>
      </c>
      <c r="R31">
        <v>0.13233566894844301</v>
      </c>
      <c r="S31">
        <v>9.6557962412596399E-2</v>
      </c>
      <c r="T31">
        <v>9.6557962412587003E-2</v>
      </c>
      <c r="U31">
        <v>0.442088396634225</v>
      </c>
      <c r="V31">
        <v>0.956204636815148</v>
      </c>
      <c r="W31">
        <v>0.95620463681514101</v>
      </c>
    </row>
    <row r="32" spans="1:23">
      <c r="A32">
        <v>110</v>
      </c>
      <c r="B32">
        <v>608.875</v>
      </c>
      <c r="C32">
        <v>31174.1</v>
      </c>
      <c r="D32">
        <v>283.39999999999998</v>
      </c>
      <c r="E32">
        <v>479.36099999999999</v>
      </c>
      <c r="F32">
        <v>-21555.7</v>
      </c>
      <c r="G32">
        <v>195.96100000000001</v>
      </c>
      <c r="I32">
        <v>110</v>
      </c>
      <c r="J32">
        <v>608.83882403965299</v>
      </c>
      <c r="K32">
        <v>31151.009630825502</v>
      </c>
      <c r="L32">
        <v>283.190996643868</v>
      </c>
      <c r="M32">
        <v>477.50205160651001</v>
      </c>
      <c r="N32">
        <v>-21374.216045890498</v>
      </c>
      <c r="O32">
        <v>194.31105496264101</v>
      </c>
      <c r="Q32">
        <v>0</v>
      </c>
      <c r="R32">
        <v>5.9414428818737996E-3</v>
      </c>
      <c r="S32">
        <v>7.4069080340511906E-2</v>
      </c>
      <c r="T32">
        <v>7.3748537802108993E-2</v>
      </c>
      <c r="U32">
        <v>0.38779717029331801</v>
      </c>
      <c r="V32">
        <v>0.84193022777939996</v>
      </c>
      <c r="W32">
        <v>0.84197622861619204</v>
      </c>
    </row>
    <row r="33" spans="1:23">
      <c r="A33">
        <v>120</v>
      </c>
      <c r="B33">
        <v>660.30600000000004</v>
      </c>
      <c r="C33">
        <v>37521.9</v>
      </c>
      <c r="D33">
        <v>312.68200000000002</v>
      </c>
      <c r="E33">
        <v>534.56200000000001</v>
      </c>
      <c r="F33">
        <v>-26625.599999999999</v>
      </c>
      <c r="G33">
        <v>221.88</v>
      </c>
      <c r="I33">
        <v>120</v>
      </c>
      <c r="J33">
        <v>659.70373241039204</v>
      </c>
      <c r="K33">
        <v>37494.0944983437</v>
      </c>
      <c r="L33">
        <v>312.45078748619801</v>
      </c>
      <c r="M33">
        <v>532.66675722025298</v>
      </c>
      <c r="N33">
        <v>-26425.916368086499</v>
      </c>
      <c r="O33">
        <v>220.215969734054</v>
      </c>
      <c r="Q33">
        <v>0</v>
      </c>
      <c r="R33">
        <v>9.1210376644699498E-2</v>
      </c>
      <c r="S33">
        <v>7.4104727255852904E-2</v>
      </c>
      <c r="T33">
        <v>7.3944938884163106E-2</v>
      </c>
      <c r="U33">
        <v>0.354541246805199</v>
      </c>
      <c r="V33">
        <v>0.74996857127502004</v>
      </c>
      <c r="W33">
        <v>0.74996857127502703</v>
      </c>
    </row>
    <row r="34" spans="1:23">
      <c r="A34">
        <v>130</v>
      </c>
      <c r="B34">
        <v>709.86300000000006</v>
      </c>
      <c r="C34">
        <v>44373.9</v>
      </c>
      <c r="D34">
        <v>341.33800000000002</v>
      </c>
      <c r="E34">
        <v>589.38099999999997</v>
      </c>
      <c r="F34">
        <v>-32245.599999999999</v>
      </c>
      <c r="G34">
        <v>248.04300000000001</v>
      </c>
      <c r="I34">
        <v>130</v>
      </c>
      <c r="J34">
        <v>711.06254143751096</v>
      </c>
      <c r="K34">
        <v>44347.925867583297</v>
      </c>
      <c r="L34">
        <v>341.13789128910201</v>
      </c>
      <c r="M34">
        <v>587.50297202341096</v>
      </c>
      <c r="N34">
        <v>-32027.460495460102</v>
      </c>
      <c r="O34">
        <v>246.36508073430801</v>
      </c>
      <c r="Q34">
        <v>0</v>
      </c>
      <c r="R34">
        <v>-0.16898210464719199</v>
      </c>
      <c r="S34">
        <v>5.8534707151478203E-2</v>
      </c>
      <c r="T34">
        <v>5.8624797384882202E-2</v>
      </c>
      <c r="U34">
        <v>0.31864413284257398</v>
      </c>
      <c r="V34">
        <v>0.67649386130161904</v>
      </c>
      <c r="W34">
        <v>0.67646305910320803</v>
      </c>
    </row>
    <row r="35" spans="1:23">
      <c r="A35">
        <v>140</v>
      </c>
      <c r="B35">
        <v>758.49900000000002</v>
      </c>
      <c r="C35">
        <v>51716.1</v>
      </c>
      <c r="D35">
        <v>369.40100000000001</v>
      </c>
      <c r="E35">
        <v>643.77</v>
      </c>
      <c r="F35">
        <v>-38411.699999999997</v>
      </c>
      <c r="G35">
        <v>274.37</v>
      </c>
      <c r="I35">
        <v>140</v>
      </c>
      <c r="J35">
        <v>758.29139583697702</v>
      </c>
      <c r="K35">
        <v>51687.517182789001</v>
      </c>
      <c r="L35">
        <v>369.19655130563598</v>
      </c>
      <c r="M35">
        <v>641.87785044623899</v>
      </c>
      <c r="N35">
        <v>-38175.381879684399</v>
      </c>
      <c r="O35">
        <v>272.68129914060302</v>
      </c>
      <c r="Q35">
        <v>0</v>
      </c>
      <c r="R35">
        <v>2.7370393767515201E-2</v>
      </c>
      <c r="S35">
        <v>5.52687020307083E-2</v>
      </c>
      <c r="T35">
        <v>5.5346004575957897E-2</v>
      </c>
      <c r="U35">
        <v>0.293917012871103</v>
      </c>
      <c r="V35">
        <v>0.61522432049488196</v>
      </c>
      <c r="W35">
        <v>0.61548305550778204</v>
      </c>
    </row>
    <row r="36" spans="1:23">
      <c r="A36">
        <v>150</v>
      </c>
      <c r="B36">
        <v>806.93299999999999</v>
      </c>
      <c r="C36">
        <v>59543.199999999997</v>
      </c>
      <c r="D36">
        <v>396.95499999999998</v>
      </c>
      <c r="E36">
        <v>697.75300000000004</v>
      </c>
      <c r="F36">
        <v>-45119.7</v>
      </c>
      <c r="G36">
        <v>300.798</v>
      </c>
      <c r="I36">
        <v>150</v>
      </c>
      <c r="J36">
        <v>806.49145493941103</v>
      </c>
      <c r="K36">
        <v>59511.148804365002</v>
      </c>
      <c r="L36">
        <v>396.74099202910003</v>
      </c>
      <c r="M36">
        <v>695.83879714796399</v>
      </c>
      <c r="N36">
        <v>-44864.670767829703</v>
      </c>
      <c r="O36">
        <v>299.09780511886402</v>
      </c>
      <c r="Q36">
        <v>0</v>
      </c>
      <c r="R36">
        <v>5.4718924692504098E-2</v>
      </c>
      <c r="S36">
        <v>5.3828473503250297E-2</v>
      </c>
      <c r="T36">
        <v>5.3912400876648399E-2</v>
      </c>
      <c r="U36">
        <v>0.27433817583516601</v>
      </c>
      <c r="V36">
        <v>0.56522812024518199</v>
      </c>
      <c r="W36">
        <v>0.56522812024519198</v>
      </c>
    </row>
    <row r="37" spans="1:23">
      <c r="A37">
        <v>160</v>
      </c>
      <c r="B37">
        <v>855.42499999999995</v>
      </c>
      <c r="C37">
        <v>67855</v>
      </c>
      <c r="D37">
        <v>424.09399999999999</v>
      </c>
      <c r="E37">
        <v>751.37900000000002</v>
      </c>
      <c r="F37">
        <v>-52365.599999999999</v>
      </c>
      <c r="G37">
        <v>327.28500000000003</v>
      </c>
      <c r="I37">
        <v>160</v>
      </c>
      <c r="J37">
        <v>854.49490506282598</v>
      </c>
      <c r="K37">
        <v>67810.346994931693</v>
      </c>
      <c r="L37">
        <v>423.81466871832299</v>
      </c>
      <c r="M37">
        <v>749.38477470227497</v>
      </c>
      <c r="N37">
        <v>-52091.216957432298</v>
      </c>
      <c r="O37">
        <v>325.57010598395198</v>
      </c>
      <c r="Q37">
        <v>0</v>
      </c>
      <c r="R37">
        <v>0.10872898701508001</v>
      </c>
      <c r="S37">
        <v>6.5806506621924402E-2</v>
      </c>
      <c r="T37">
        <v>6.5865417024737097E-2</v>
      </c>
      <c r="U37">
        <v>0.26540870821842</v>
      </c>
      <c r="V37">
        <v>0.52397574470187602</v>
      </c>
      <c r="W37">
        <v>0.52397574470189401</v>
      </c>
    </row>
    <row r="38" spans="1:23">
      <c r="A38">
        <v>170</v>
      </c>
      <c r="B38">
        <v>903.80600000000004</v>
      </c>
      <c r="C38">
        <v>76651.399999999994</v>
      </c>
      <c r="D38">
        <v>450.89100000000002</v>
      </c>
      <c r="E38">
        <v>804.69200000000001</v>
      </c>
      <c r="F38">
        <v>-60146.2</v>
      </c>
      <c r="G38">
        <v>353.80099999999999</v>
      </c>
      <c r="I38">
        <v>170</v>
      </c>
      <c r="J38">
        <v>904.95331035883498</v>
      </c>
      <c r="K38">
        <v>76611.591236466295</v>
      </c>
      <c r="L38">
        <v>450.65641903803697</v>
      </c>
      <c r="M38">
        <v>802.72697639333398</v>
      </c>
      <c r="N38">
        <v>-59851.994750400401</v>
      </c>
      <c r="O38">
        <v>352.07055735529701</v>
      </c>
      <c r="Q38">
        <v>0</v>
      </c>
      <c r="R38">
        <v>-0.12694210470338799</v>
      </c>
      <c r="S38">
        <v>5.19348159768767E-2</v>
      </c>
      <c r="T38">
        <v>5.2026090998265703E-2</v>
      </c>
      <c r="U38">
        <v>0.244195742801706</v>
      </c>
      <c r="V38">
        <v>0.48915018671088301</v>
      </c>
      <c r="W38">
        <v>0.48910055220391502</v>
      </c>
    </row>
    <row r="39" spans="1:23">
      <c r="A39">
        <v>180</v>
      </c>
      <c r="B39">
        <v>951.64499999999998</v>
      </c>
      <c r="C39">
        <v>85929.3</v>
      </c>
      <c r="D39">
        <v>477.38499999999999</v>
      </c>
      <c r="E39">
        <v>857.71</v>
      </c>
      <c r="F39">
        <v>-68458.5</v>
      </c>
      <c r="G39">
        <v>380.32499999999999</v>
      </c>
      <c r="I39">
        <v>180</v>
      </c>
      <c r="J39">
        <v>951.69941733243002</v>
      </c>
      <c r="K39">
        <v>85894.854874922603</v>
      </c>
      <c r="L39">
        <v>477.193638194014</v>
      </c>
      <c r="M39">
        <v>855.77934515331799</v>
      </c>
      <c r="N39">
        <v>-68145.427252674606</v>
      </c>
      <c r="O39">
        <v>378.58570695930302</v>
      </c>
      <c r="Q39">
        <v>0</v>
      </c>
      <c r="R39">
        <v>-5.7182386741487599E-3</v>
      </c>
      <c r="S39">
        <v>4.0085424968399397E-2</v>
      </c>
      <c r="T39">
        <v>4.0085424968393603E-2</v>
      </c>
      <c r="U39">
        <v>0.22509412816472901</v>
      </c>
      <c r="V39">
        <v>0.45731756805264601</v>
      </c>
      <c r="W39">
        <v>0.45731756805264501</v>
      </c>
    </row>
    <row r="40" spans="1:23">
      <c r="A40">
        <v>190</v>
      </c>
      <c r="B40">
        <v>998.46600000000001</v>
      </c>
      <c r="C40">
        <v>95680.9</v>
      </c>
      <c r="D40">
        <v>503.584</v>
      </c>
      <c r="E40">
        <v>910.42200000000003</v>
      </c>
      <c r="F40">
        <v>-77299.399999999994</v>
      </c>
      <c r="G40">
        <v>406.839</v>
      </c>
      <c r="I40">
        <v>190</v>
      </c>
      <c r="J40">
        <v>997.71325987149896</v>
      </c>
      <c r="K40">
        <v>95644.209990738702</v>
      </c>
      <c r="L40">
        <v>503.39057889862499</v>
      </c>
      <c r="M40">
        <v>908.48171586000103</v>
      </c>
      <c r="N40">
        <v>-76967.3160226615</v>
      </c>
      <c r="O40">
        <v>405.09113696137598</v>
      </c>
      <c r="Q40">
        <v>0</v>
      </c>
      <c r="R40">
        <v>7.5389660589448695E-2</v>
      </c>
      <c r="S40">
        <v>3.8346220887605101E-2</v>
      </c>
      <c r="T40">
        <v>3.84089052422254E-2</v>
      </c>
      <c r="U40">
        <v>0.21311920625803599</v>
      </c>
      <c r="V40">
        <v>0.42960744499756798</v>
      </c>
      <c r="W40">
        <v>0.42962032612985701</v>
      </c>
    </row>
    <row r="41" spans="1:23">
      <c r="A41">
        <v>200</v>
      </c>
      <c r="B41">
        <v>1043.95</v>
      </c>
      <c r="C41">
        <v>105894</v>
      </c>
      <c r="D41">
        <v>529.471</v>
      </c>
      <c r="E41">
        <v>962.8</v>
      </c>
      <c r="F41">
        <v>-86665.8</v>
      </c>
      <c r="G41">
        <v>433.32900000000001</v>
      </c>
      <c r="I41">
        <v>200</v>
      </c>
      <c r="J41">
        <v>1042.5777728285</v>
      </c>
      <c r="K41">
        <v>105847.29613970401</v>
      </c>
      <c r="L41">
        <v>529.23648069852004</v>
      </c>
      <c r="M41">
        <v>960.80882627072901</v>
      </c>
      <c r="N41">
        <v>-86314.469114441803</v>
      </c>
      <c r="O41">
        <v>431.57234557220897</v>
      </c>
      <c r="Q41">
        <v>0</v>
      </c>
      <c r="R41">
        <v>0.13144567953372599</v>
      </c>
      <c r="S41">
        <v>4.4104349912088801E-2</v>
      </c>
      <c r="T41">
        <v>4.4293134369872603E-2</v>
      </c>
      <c r="U41">
        <v>0.20681073216350801</v>
      </c>
      <c r="V41">
        <v>0.40538584488707302</v>
      </c>
      <c r="W41">
        <v>0.40538584488707002</v>
      </c>
    </row>
    <row r="42" spans="1:23">
      <c r="A42">
        <v>210</v>
      </c>
      <c r="B42">
        <v>1088.04</v>
      </c>
      <c r="C42">
        <v>116555</v>
      </c>
      <c r="D42">
        <v>555.02499999999998</v>
      </c>
      <c r="E42">
        <v>1014.81</v>
      </c>
      <c r="F42">
        <v>-96554.1</v>
      </c>
      <c r="G42">
        <v>459.78199999999998</v>
      </c>
      <c r="I42">
        <v>210</v>
      </c>
      <c r="J42">
        <v>1086.5272902746799</v>
      </c>
      <c r="K42">
        <v>116492.82145521999</v>
      </c>
      <c r="L42">
        <v>554.72772121533296</v>
      </c>
      <c r="M42">
        <v>1012.74296797893</v>
      </c>
      <c r="N42">
        <v>-96183.201820356204</v>
      </c>
      <c r="O42">
        <v>458.015246763601</v>
      </c>
      <c r="Q42">
        <v>0</v>
      </c>
      <c r="R42">
        <v>0.13903070891837699</v>
      </c>
      <c r="S42">
        <v>5.33469561837316E-2</v>
      </c>
      <c r="T42">
        <v>5.3561332312318501E-2</v>
      </c>
      <c r="U42">
        <v>0.20368660350854501</v>
      </c>
      <c r="V42">
        <v>0.38413509073537899</v>
      </c>
      <c r="W42">
        <v>0.38425889582424699</v>
      </c>
    </row>
    <row r="43" spans="1:23">
      <c r="A43">
        <v>220</v>
      </c>
      <c r="B43">
        <v>1131.02</v>
      </c>
      <c r="C43">
        <v>127651</v>
      </c>
      <c r="D43">
        <v>580.23299999999995</v>
      </c>
      <c r="E43">
        <v>1066.42</v>
      </c>
      <c r="F43">
        <v>-106961</v>
      </c>
      <c r="G43">
        <v>486.185</v>
      </c>
      <c r="I43">
        <v>220</v>
      </c>
      <c r="J43">
        <v>1130.30737354085</v>
      </c>
      <c r="K43">
        <v>127576.74070893</v>
      </c>
      <c r="L43">
        <v>579.89427594968402</v>
      </c>
      <c r="M43">
        <v>1064.2983046970701</v>
      </c>
      <c r="N43">
        <v>-106568.886324425</v>
      </c>
      <c r="O43">
        <v>484.40402874738999</v>
      </c>
      <c r="Q43">
        <v>0</v>
      </c>
      <c r="R43">
        <v>6.3007414470484593E-2</v>
      </c>
      <c r="S43">
        <v>5.8173685336855303E-2</v>
      </c>
      <c r="T43">
        <v>5.83772467810579E-2</v>
      </c>
      <c r="U43">
        <v>0.19895494297973901</v>
      </c>
      <c r="V43">
        <v>0.36659499777867099</v>
      </c>
      <c r="W43">
        <v>0.36631554914472397</v>
      </c>
    </row>
    <row r="44" spans="1:23">
      <c r="A44">
        <v>230</v>
      </c>
      <c r="B44">
        <v>1173.3699999999999</v>
      </c>
      <c r="C44">
        <v>139173</v>
      </c>
      <c r="D44">
        <v>605.10199999999998</v>
      </c>
      <c r="E44">
        <v>1117.6300000000001</v>
      </c>
      <c r="F44">
        <v>-117881</v>
      </c>
      <c r="G44">
        <v>512.52700000000004</v>
      </c>
      <c r="I44">
        <v>230</v>
      </c>
      <c r="J44">
        <v>1174.8599027237301</v>
      </c>
      <c r="K44">
        <v>139102.57709025301</v>
      </c>
      <c r="L44">
        <v>604.793813435885</v>
      </c>
      <c r="M44">
        <v>1115.5275413090901</v>
      </c>
      <c r="N44">
        <v>-117468.757410837</v>
      </c>
      <c r="O44">
        <v>510.73372787320699</v>
      </c>
      <c r="Q44">
        <v>0</v>
      </c>
      <c r="R44">
        <v>-0.12697637776110099</v>
      </c>
      <c r="S44">
        <v>5.0600985641168203E-2</v>
      </c>
      <c r="T44">
        <v>5.0931341181261101E-2</v>
      </c>
      <c r="U44">
        <v>0.18811759624444699</v>
      </c>
      <c r="V44">
        <v>0.34971080086033102</v>
      </c>
      <c r="W44">
        <v>0.34988832330630099</v>
      </c>
    </row>
    <row r="45" spans="1:23">
      <c r="A45">
        <v>240</v>
      </c>
      <c r="B45">
        <v>1215.68</v>
      </c>
      <c r="C45">
        <v>151118</v>
      </c>
      <c r="D45">
        <v>629.66</v>
      </c>
      <c r="E45">
        <v>1168.46</v>
      </c>
      <c r="F45">
        <v>-129312</v>
      </c>
      <c r="G45">
        <v>538.79999999999995</v>
      </c>
      <c r="I45">
        <v>240</v>
      </c>
      <c r="J45">
        <v>1217.0321945547901</v>
      </c>
      <c r="K45">
        <v>151065.92616394101</v>
      </c>
      <c r="L45">
        <v>629.44135901642403</v>
      </c>
      <c r="M45">
        <v>1166.4373672085301</v>
      </c>
      <c r="N45">
        <v>-128879.041966106</v>
      </c>
      <c r="O45">
        <v>536.99600819210798</v>
      </c>
      <c r="Q45">
        <v>0</v>
      </c>
      <c r="R45">
        <v>-0.11122948101401101</v>
      </c>
      <c r="S45">
        <v>3.44590558756371E-2</v>
      </c>
      <c r="T45">
        <v>3.4723657779690102E-2</v>
      </c>
      <c r="U45">
        <v>0.17310244180089801</v>
      </c>
      <c r="V45">
        <v>0.33481659389221202</v>
      </c>
      <c r="W45">
        <v>0.33481659389220098</v>
      </c>
    </row>
    <row r="46" spans="1:23">
      <c r="A46">
        <v>250</v>
      </c>
      <c r="B46">
        <v>1258.4100000000001</v>
      </c>
      <c r="C46">
        <v>163488</v>
      </c>
      <c r="D46">
        <v>653.95399999999995</v>
      </c>
      <c r="E46">
        <v>1218.95</v>
      </c>
      <c r="F46">
        <v>-141249</v>
      </c>
      <c r="G46">
        <v>564.99699999999996</v>
      </c>
      <c r="I46">
        <v>250</v>
      </c>
      <c r="J46">
        <v>1258.6027788004999</v>
      </c>
      <c r="K46">
        <v>163444.10103071801</v>
      </c>
      <c r="L46">
        <v>653.77640412287303</v>
      </c>
      <c r="M46">
        <v>1216.9642601711</v>
      </c>
      <c r="N46">
        <v>-140796.964012057</v>
      </c>
      <c r="O46">
        <v>563.18785604822801</v>
      </c>
      <c r="Q46">
        <v>0</v>
      </c>
      <c r="R46">
        <v>-1.53192362190305E-2</v>
      </c>
      <c r="S46">
        <v>2.6851493248231301E-2</v>
      </c>
      <c r="T46">
        <v>2.7157243036448699E-2</v>
      </c>
      <c r="U46">
        <v>0.162905765527598</v>
      </c>
      <c r="V46">
        <v>0.32002774387285798</v>
      </c>
      <c r="W46">
        <v>0.32020416953927699</v>
      </c>
    </row>
    <row r="47" spans="1:23">
      <c r="A47">
        <v>260</v>
      </c>
      <c r="B47">
        <v>1301.71</v>
      </c>
      <c r="C47">
        <v>176289</v>
      </c>
      <c r="D47">
        <v>678.03300000000002</v>
      </c>
      <c r="E47">
        <v>1269.1500000000001</v>
      </c>
      <c r="F47">
        <v>-153690</v>
      </c>
      <c r="G47">
        <v>591.11500000000001</v>
      </c>
      <c r="I47">
        <v>260</v>
      </c>
      <c r="J47">
        <v>1301.2822213760901</v>
      </c>
      <c r="K47">
        <v>176240.101963099</v>
      </c>
      <c r="L47">
        <v>677.84654601191903</v>
      </c>
      <c r="M47">
        <v>1267.14618325109</v>
      </c>
      <c r="N47">
        <v>-153217.905682185</v>
      </c>
      <c r="O47">
        <v>589.29963723917399</v>
      </c>
      <c r="Q47">
        <v>0</v>
      </c>
      <c r="R47">
        <v>3.2862820743688501E-2</v>
      </c>
      <c r="S47">
        <v>2.7737429392008899E-2</v>
      </c>
      <c r="T47">
        <v>2.7499249753375098E-2</v>
      </c>
      <c r="U47">
        <v>0.15788651844986801</v>
      </c>
      <c r="V47">
        <v>0.30717308726317299</v>
      </c>
      <c r="W47">
        <v>0.30710822104430002</v>
      </c>
    </row>
    <row r="48" spans="1:23">
      <c r="A48">
        <v>270</v>
      </c>
      <c r="B48">
        <v>1345.32</v>
      </c>
      <c r="C48">
        <v>189524</v>
      </c>
      <c r="D48">
        <v>701.93899999999996</v>
      </c>
      <c r="E48">
        <v>1319.09</v>
      </c>
      <c r="F48">
        <v>-166631</v>
      </c>
      <c r="G48">
        <v>617.15300000000002</v>
      </c>
      <c r="I48">
        <v>270</v>
      </c>
      <c r="J48">
        <v>1345.6335920981901</v>
      </c>
      <c r="K48">
        <v>189474.68103047</v>
      </c>
      <c r="L48">
        <v>701.75807789063094</v>
      </c>
      <c r="M48">
        <v>1317.08998194889</v>
      </c>
      <c r="N48">
        <v>-166139.61409572899</v>
      </c>
      <c r="O48">
        <v>615.33190405825906</v>
      </c>
      <c r="Q48">
        <v>0</v>
      </c>
      <c r="R48">
        <v>-2.3309851796627101E-2</v>
      </c>
      <c r="S48">
        <v>2.60225457089562E-2</v>
      </c>
      <c r="T48">
        <v>2.5774619926834798E-2</v>
      </c>
      <c r="U48">
        <v>0.15162104565336701</v>
      </c>
      <c r="V48">
        <v>0.29489465001711601</v>
      </c>
      <c r="W48">
        <v>0.29508014086310003</v>
      </c>
    </row>
    <row r="49" spans="1:23">
      <c r="A49">
        <v>273.14999999999998</v>
      </c>
      <c r="B49">
        <v>1359.04</v>
      </c>
      <c r="C49">
        <v>193783</v>
      </c>
      <c r="D49">
        <v>709.43799999999999</v>
      </c>
      <c r="E49">
        <v>1334.78</v>
      </c>
      <c r="F49">
        <v>-170811</v>
      </c>
      <c r="G49">
        <v>625.33799999999997</v>
      </c>
      <c r="I49">
        <v>273.14999999999998</v>
      </c>
      <c r="J49">
        <v>1359.60427387564</v>
      </c>
      <c r="K49">
        <v>193735.43066937901</v>
      </c>
      <c r="L49">
        <v>709.26388676324098</v>
      </c>
      <c r="M49">
        <v>1332.7790745945499</v>
      </c>
      <c r="N49">
        <v>-170313.17355612299</v>
      </c>
      <c r="O49">
        <v>623.51518783131496</v>
      </c>
      <c r="Q49">
        <v>0</v>
      </c>
      <c r="R49">
        <v>-4.1520034410275297E-2</v>
      </c>
      <c r="S49">
        <v>2.45477315454228E-2</v>
      </c>
      <c r="T49">
        <v>2.4542417626175199E-2</v>
      </c>
      <c r="U49">
        <v>0.14990675657737301</v>
      </c>
      <c r="V49">
        <v>0.29144870287992403</v>
      </c>
      <c r="W49">
        <v>0.291492307949407</v>
      </c>
    </row>
    <row r="50" spans="1:23">
      <c r="A50">
        <v>280</v>
      </c>
      <c r="B50">
        <v>1388.69</v>
      </c>
      <c r="C50">
        <v>203194</v>
      </c>
      <c r="D50">
        <v>725.69299999999998</v>
      </c>
      <c r="E50">
        <v>1368.8</v>
      </c>
      <c r="F50">
        <v>-180071</v>
      </c>
      <c r="G50">
        <v>643.11099999999999</v>
      </c>
      <c r="I50">
        <v>280</v>
      </c>
      <c r="J50">
        <v>1390.03026960682</v>
      </c>
      <c r="K50">
        <v>203152.308206332</v>
      </c>
      <c r="L50">
        <v>725.54395787975898</v>
      </c>
      <c r="M50">
        <v>1366.8276224858801</v>
      </c>
      <c r="N50">
        <v>-179559.42608971501</v>
      </c>
      <c r="O50">
        <v>641.28366460612801</v>
      </c>
      <c r="Q50">
        <v>0</v>
      </c>
      <c r="R50">
        <v>-9.6513232386156195E-2</v>
      </c>
      <c r="S50">
        <v>2.0518220846755399E-2</v>
      </c>
      <c r="T50">
        <v>2.0537902424379299E-2</v>
      </c>
      <c r="U50">
        <v>0.144095376542385</v>
      </c>
      <c r="V50">
        <v>0.284095667977664</v>
      </c>
      <c r="W50">
        <v>0.28413996866351698</v>
      </c>
    </row>
    <row r="51" spans="1:23">
      <c r="A51">
        <v>290</v>
      </c>
      <c r="B51">
        <v>1431.36</v>
      </c>
      <c r="C51">
        <v>217295</v>
      </c>
      <c r="D51">
        <v>749.29300000000001</v>
      </c>
      <c r="E51">
        <v>1418.28</v>
      </c>
      <c r="F51">
        <v>-194007</v>
      </c>
      <c r="G51">
        <v>668.98800000000006</v>
      </c>
      <c r="I51">
        <v>290</v>
      </c>
      <c r="J51">
        <v>1437.29051508217</v>
      </c>
      <c r="K51">
        <v>217288.91212977699</v>
      </c>
      <c r="L51">
        <v>749.27211079233598</v>
      </c>
      <c r="M51">
        <v>1416.4304625356999</v>
      </c>
      <c r="N51">
        <v>-193475.92200557599</v>
      </c>
      <c r="O51">
        <v>667.15835174336496</v>
      </c>
      <c r="Q51">
        <v>0</v>
      </c>
      <c r="R51">
        <v>-0.414327288884134</v>
      </c>
      <c r="S51">
        <v>2.8016614383077499E-3</v>
      </c>
      <c r="T51">
        <v>2.7878557070925001E-3</v>
      </c>
      <c r="U51">
        <v>0.13040707506964599</v>
      </c>
      <c r="V51">
        <v>0.27374166624091101</v>
      </c>
      <c r="W51">
        <v>0.27349492915187201</v>
      </c>
    </row>
    <row r="52" spans="1:23">
      <c r="A52">
        <v>298.14999999999998</v>
      </c>
      <c r="B52">
        <v>1465.95</v>
      </c>
      <c r="C52">
        <v>229101</v>
      </c>
      <c r="D52">
        <v>768.40899999999999</v>
      </c>
      <c r="E52">
        <v>1458.43</v>
      </c>
      <c r="F52">
        <v>-205729</v>
      </c>
      <c r="G52">
        <v>690.02</v>
      </c>
      <c r="I52">
        <v>298.14999999999998</v>
      </c>
      <c r="J52">
        <v>1475.80761514458</v>
      </c>
      <c r="K52">
        <v>229159.78701045099</v>
      </c>
      <c r="L52">
        <v>768.60569180094399</v>
      </c>
      <c r="M52">
        <v>1456.79764556685</v>
      </c>
      <c r="N52">
        <v>-205184.431015307</v>
      </c>
      <c r="O52">
        <v>688.19195376591495</v>
      </c>
      <c r="Q52">
        <v>0</v>
      </c>
      <c r="R52">
        <v>-0.67243870149600404</v>
      </c>
      <c r="S52">
        <v>-2.5659866369681501E-2</v>
      </c>
      <c r="T52">
        <v>-2.55972796966932E-2</v>
      </c>
      <c r="U52">
        <v>0.11192545635653101</v>
      </c>
      <c r="V52">
        <v>0.26470210067246203</v>
      </c>
      <c r="W52">
        <v>0.26492655779324098</v>
      </c>
    </row>
    <row r="53" spans="1:23">
      <c r="A53">
        <v>300</v>
      </c>
      <c r="B53">
        <v>1473.91</v>
      </c>
      <c r="C53">
        <v>231821</v>
      </c>
      <c r="D53">
        <v>772.73500000000001</v>
      </c>
      <c r="E53">
        <v>1467.52</v>
      </c>
      <c r="F53">
        <v>-208436</v>
      </c>
      <c r="G53">
        <v>694.78599999999994</v>
      </c>
      <c r="I53">
        <v>300</v>
      </c>
      <c r="J53">
        <v>1484.5507605575201</v>
      </c>
      <c r="K53">
        <v>231898.118507976</v>
      </c>
      <c r="L53">
        <v>772.99372835992006</v>
      </c>
      <c r="M53">
        <v>1465.95365218286</v>
      </c>
      <c r="N53">
        <v>-207887.97714688201</v>
      </c>
      <c r="O53">
        <v>692.95992382294105</v>
      </c>
      <c r="Q53">
        <v>0</v>
      </c>
      <c r="R53">
        <v>-0.72194099758602903</v>
      </c>
      <c r="S53">
        <v>-3.3266402947140498E-2</v>
      </c>
      <c r="T53">
        <v>-3.3482158815152499E-2</v>
      </c>
      <c r="U53">
        <v>0.10673434209673199</v>
      </c>
      <c r="V53">
        <v>0.26292140182956097</v>
      </c>
      <c r="W53">
        <v>0.26282570130345301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81E94-778C-4AF3-B9EF-41238091A8E6}">
  <dimension ref="A1:N33"/>
  <sheetViews>
    <sheetView workbookViewId="0"/>
  </sheetViews>
  <sheetFormatPr defaultRowHeight="14.25"/>
  <cols>
    <col min="1" max="1" width="16.25" customWidth="1"/>
    <col min="2" max="14" width="12.25" customWidth="1"/>
  </cols>
  <sheetData>
    <row r="1" spans="1:14">
      <c r="A1" s="32" t="s">
        <v>77</v>
      </c>
      <c r="B1" s="33">
        <v>42516</v>
      </c>
      <c r="C1" s="33">
        <v>42516</v>
      </c>
      <c r="D1" s="33">
        <v>42516</v>
      </c>
      <c r="E1" s="33">
        <v>42517</v>
      </c>
      <c r="F1" s="33">
        <v>42517</v>
      </c>
      <c r="G1" s="33">
        <v>42536</v>
      </c>
      <c r="H1" s="33">
        <v>42536</v>
      </c>
      <c r="I1" s="33">
        <v>42537</v>
      </c>
      <c r="J1" s="33">
        <v>42542</v>
      </c>
      <c r="K1" s="33">
        <v>42542</v>
      </c>
      <c r="L1" s="33">
        <v>42543</v>
      </c>
      <c r="M1" s="33">
        <v>42543</v>
      </c>
      <c r="N1" s="33">
        <v>42543</v>
      </c>
    </row>
    <row r="2" spans="1:14">
      <c r="A2" s="34" t="s">
        <v>78</v>
      </c>
      <c r="B2" t="s">
        <v>79</v>
      </c>
      <c r="C2" t="s">
        <v>80</v>
      </c>
      <c r="D2" t="s">
        <v>81</v>
      </c>
      <c r="E2" t="s">
        <v>79</v>
      </c>
      <c r="F2" t="s">
        <v>80</v>
      </c>
      <c r="G2" t="s">
        <v>79</v>
      </c>
      <c r="H2" t="s">
        <v>80</v>
      </c>
      <c r="I2" t="s">
        <v>79</v>
      </c>
      <c r="J2" t="s">
        <v>79</v>
      </c>
      <c r="K2" t="s">
        <v>80</v>
      </c>
      <c r="L2" t="s">
        <v>79</v>
      </c>
      <c r="M2" t="s">
        <v>80</v>
      </c>
      <c r="N2" t="s">
        <v>81</v>
      </c>
    </row>
    <row r="3" spans="1:14">
      <c r="A3" s="34" t="s">
        <v>82</v>
      </c>
      <c r="B3" s="36">
        <v>10.385999999999999</v>
      </c>
      <c r="C3" s="36">
        <v>9.2080000000000002</v>
      </c>
      <c r="D3">
        <v>10.292</v>
      </c>
      <c r="E3">
        <v>10.683999999999999</v>
      </c>
      <c r="F3">
        <v>9.7460000000000004</v>
      </c>
      <c r="G3">
        <v>10.26</v>
      </c>
      <c r="H3">
        <v>10.66</v>
      </c>
      <c r="I3">
        <v>9.9120000000000008</v>
      </c>
      <c r="J3">
        <v>9.8879999999999999</v>
      </c>
      <c r="K3">
        <v>10.194000000000001</v>
      </c>
      <c r="L3">
        <v>9.7560000000000002</v>
      </c>
      <c r="M3">
        <v>10.714</v>
      </c>
      <c r="N3">
        <v>9.7040000000000006</v>
      </c>
    </row>
    <row r="4" spans="1:14">
      <c r="A4" s="34" t="s">
        <v>83</v>
      </c>
      <c r="B4">
        <v>24.7</v>
      </c>
      <c r="C4">
        <v>24.7</v>
      </c>
      <c r="D4">
        <v>24.7</v>
      </c>
      <c r="E4">
        <v>24.7</v>
      </c>
      <c r="F4">
        <v>24.7</v>
      </c>
      <c r="G4">
        <v>24.6</v>
      </c>
      <c r="H4">
        <v>24.7</v>
      </c>
      <c r="I4">
        <v>24.7</v>
      </c>
      <c r="J4">
        <v>24.7</v>
      </c>
      <c r="K4">
        <v>24.7</v>
      </c>
      <c r="L4">
        <v>24.7</v>
      </c>
      <c r="M4">
        <v>24.7</v>
      </c>
      <c r="N4">
        <v>24.7</v>
      </c>
    </row>
    <row r="5" spans="1:14">
      <c r="A5" s="34" t="s">
        <v>84</v>
      </c>
      <c r="B5">
        <v>25</v>
      </c>
      <c r="C5">
        <v>25</v>
      </c>
      <c r="D5">
        <v>25</v>
      </c>
      <c r="E5">
        <v>25</v>
      </c>
      <c r="F5">
        <v>25</v>
      </c>
      <c r="G5">
        <v>25</v>
      </c>
      <c r="H5">
        <v>25</v>
      </c>
      <c r="I5">
        <v>25</v>
      </c>
      <c r="J5">
        <v>25</v>
      </c>
      <c r="K5">
        <v>25</v>
      </c>
      <c r="L5">
        <v>25</v>
      </c>
      <c r="M5">
        <v>25</v>
      </c>
      <c r="N5">
        <v>25</v>
      </c>
    </row>
    <row r="6" spans="1:14">
      <c r="A6" s="34" t="s">
        <v>85</v>
      </c>
      <c r="B6">
        <v>1231.3058799999999</v>
      </c>
      <c r="C6">
        <f t="shared" ref="C6:N6" si="0">$B$6</f>
        <v>1231.3058799999999</v>
      </c>
      <c r="D6">
        <f t="shared" si="0"/>
        <v>1231.3058799999999</v>
      </c>
      <c r="E6">
        <f t="shared" si="0"/>
        <v>1231.3058799999999</v>
      </c>
      <c r="F6">
        <f t="shared" si="0"/>
        <v>1231.3058799999999</v>
      </c>
      <c r="G6">
        <f t="shared" si="0"/>
        <v>1231.3058799999999</v>
      </c>
      <c r="H6">
        <f t="shared" si="0"/>
        <v>1231.3058799999999</v>
      </c>
      <c r="I6">
        <f t="shared" si="0"/>
        <v>1231.3058799999999</v>
      </c>
      <c r="J6">
        <f t="shared" si="0"/>
        <v>1231.3058799999999</v>
      </c>
      <c r="K6">
        <f t="shared" si="0"/>
        <v>1231.3058799999999</v>
      </c>
      <c r="L6">
        <f t="shared" si="0"/>
        <v>1231.3058799999999</v>
      </c>
      <c r="M6">
        <f t="shared" si="0"/>
        <v>1231.3058799999999</v>
      </c>
      <c r="N6">
        <f t="shared" si="0"/>
        <v>1231.3058799999999</v>
      </c>
    </row>
    <row r="7" spans="1:14">
      <c r="A7" s="37" t="s">
        <v>86</v>
      </c>
      <c r="B7" s="38">
        <v>8.4349471310897985E-6</v>
      </c>
      <c r="C7" s="38">
        <v>7.4782392820214594E-6</v>
      </c>
      <c r="D7" s="38">
        <v>8.358605418176026E-6</v>
      </c>
      <c r="E7" s="38">
        <v>8.6769666039440989E-6</v>
      </c>
      <c r="F7" s="38">
        <v>7.9151737665704987E-6</v>
      </c>
      <c r="G7" s="38">
        <v>8.3326167499500619E-6</v>
      </c>
      <c r="H7" s="38">
        <v>8.6574751027746254E-6</v>
      </c>
      <c r="I7" s="38">
        <v>8.0499899829926916E-6</v>
      </c>
      <c r="J7" s="38">
        <v>8.0304984818232164E-6</v>
      </c>
      <c r="K7" s="38">
        <v>8.2790151217340108E-6</v>
      </c>
      <c r="L7" s="38">
        <v>7.9232952253911123E-6</v>
      </c>
      <c r="M7" s="38">
        <v>8.7013309804059416E-6</v>
      </c>
      <c r="N7" s="38">
        <v>7.8810636395239193E-6</v>
      </c>
    </row>
    <row r="8" spans="1:14">
      <c r="A8" s="37" t="s">
        <v>87</v>
      </c>
      <c r="B8" s="39">
        <v>-512.60925058381667</v>
      </c>
      <c r="C8" s="39">
        <v>-512.60925058381667</v>
      </c>
      <c r="D8" s="39">
        <v>-512.60925058381667</v>
      </c>
      <c r="E8" s="39">
        <v>-512.60925058381667</v>
      </c>
      <c r="F8" s="39">
        <v>-512.60925058381667</v>
      </c>
      <c r="G8" s="39">
        <v>-512.61714442360312</v>
      </c>
      <c r="H8" s="39">
        <v>-512.60925058381667</v>
      </c>
      <c r="I8" s="39">
        <v>-512.60925058381667</v>
      </c>
      <c r="J8" s="39">
        <v>-512.60925058381667</v>
      </c>
      <c r="K8" s="39">
        <v>-512.60925058381667</v>
      </c>
      <c r="L8" s="39">
        <v>-512.60925058381667</v>
      </c>
      <c r="M8" s="39">
        <v>-512.60925058381667</v>
      </c>
      <c r="N8" s="39">
        <v>-512.60925058381667</v>
      </c>
    </row>
    <row r="9" spans="1:14">
      <c r="A9" s="37" t="s">
        <v>88</v>
      </c>
      <c r="B9" s="39">
        <v>-512.58555601064586</v>
      </c>
      <c r="C9" s="39">
        <v>-512.58555601064586</v>
      </c>
      <c r="D9" s="39">
        <v>-512.58555601064586</v>
      </c>
      <c r="E9" s="39">
        <v>-512.58555601064586</v>
      </c>
      <c r="F9" s="39">
        <v>-512.58555601064586</v>
      </c>
      <c r="G9" s="39">
        <v>-512.58555601064586</v>
      </c>
      <c r="H9" s="39">
        <v>-512.58555601064586</v>
      </c>
      <c r="I9" s="39">
        <v>-512.58555601064586</v>
      </c>
      <c r="J9" s="39">
        <v>-512.58555601064586</v>
      </c>
      <c r="K9" s="39">
        <v>-512.58555601064586</v>
      </c>
      <c r="L9" s="39">
        <v>-512.58555601064586</v>
      </c>
      <c r="M9" s="39">
        <v>-512.58555601064586</v>
      </c>
      <c r="N9" s="39">
        <v>-512.58555601064586</v>
      </c>
    </row>
    <row r="10" spans="1:14">
      <c r="A10" s="37" t="s">
        <v>89</v>
      </c>
      <c r="B10" s="40">
        <v>1.9986247198956069E-4</v>
      </c>
      <c r="C10" s="40">
        <v>1.7719368785671819E-4</v>
      </c>
      <c r="D10" s="40">
        <v>1.9805358768693997E-4</v>
      </c>
      <c r="E10" s="40">
        <v>2.0559702009786892E-4</v>
      </c>
      <c r="F10" s="40">
        <v>1.8754666397171761E-4</v>
      </c>
      <c r="G10" s="40">
        <v>2.6321413891202371E-4</v>
      </c>
      <c r="H10" s="40">
        <v>2.051351772971998E-4</v>
      </c>
      <c r="I10" s="40">
        <v>1.9074107667634566E-4</v>
      </c>
      <c r="J10" s="40">
        <v>1.9027923387567651E-4</v>
      </c>
      <c r="K10" s="40">
        <v>1.9616772958420782E-4</v>
      </c>
      <c r="L10" s="40">
        <v>1.877390984719964E-4</v>
      </c>
      <c r="M10" s="40">
        <v>2.0617432359870531E-4</v>
      </c>
      <c r="N10" s="40">
        <v>1.8673843907054664E-4</v>
      </c>
    </row>
    <row r="11" spans="1:14">
      <c r="A11" s="34" t="s">
        <v>90</v>
      </c>
      <c r="B11" s="35">
        <v>0</v>
      </c>
      <c r="C11" s="35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>
      <c r="A12" s="34" t="s">
        <v>91</v>
      </c>
      <c r="B12" s="35">
        <v>30</v>
      </c>
      <c r="C12" s="35">
        <v>30</v>
      </c>
      <c r="D12">
        <v>30</v>
      </c>
      <c r="E12">
        <v>30</v>
      </c>
      <c r="F12">
        <v>30</v>
      </c>
      <c r="G12">
        <v>30</v>
      </c>
      <c r="H12">
        <v>30</v>
      </c>
      <c r="I12">
        <v>30</v>
      </c>
      <c r="J12">
        <v>30</v>
      </c>
      <c r="K12">
        <v>30</v>
      </c>
      <c r="L12">
        <v>30</v>
      </c>
      <c r="M12">
        <v>30</v>
      </c>
      <c r="N12">
        <v>30</v>
      </c>
    </row>
    <row r="13" spans="1:14">
      <c r="A13" s="34" t="s">
        <v>92</v>
      </c>
      <c r="B13">
        <v>90</v>
      </c>
      <c r="C13">
        <v>91</v>
      </c>
      <c r="D13">
        <v>88</v>
      </c>
      <c r="E13">
        <v>90</v>
      </c>
      <c r="F13">
        <v>84</v>
      </c>
      <c r="G13">
        <v>81</v>
      </c>
      <c r="H13">
        <v>91</v>
      </c>
      <c r="I13">
        <v>86</v>
      </c>
      <c r="J13">
        <v>83</v>
      </c>
      <c r="K13">
        <v>87</v>
      </c>
      <c r="L13">
        <v>90</v>
      </c>
      <c r="M13">
        <v>93</v>
      </c>
      <c r="N13">
        <v>97</v>
      </c>
    </row>
    <row r="14" spans="1:14">
      <c r="A14" s="37" t="s">
        <v>93</v>
      </c>
      <c r="B14" s="37">
        <v>60</v>
      </c>
      <c r="C14" s="37">
        <v>61</v>
      </c>
      <c r="D14" s="37">
        <v>58</v>
      </c>
      <c r="E14" s="37">
        <v>60</v>
      </c>
      <c r="F14" s="37">
        <v>54</v>
      </c>
      <c r="G14" s="37">
        <v>51</v>
      </c>
      <c r="H14" s="37">
        <v>61</v>
      </c>
      <c r="I14" s="37">
        <v>56</v>
      </c>
      <c r="J14" s="37">
        <v>53</v>
      </c>
      <c r="K14" s="37">
        <v>57</v>
      </c>
      <c r="L14" s="37">
        <v>60</v>
      </c>
      <c r="M14" s="37">
        <v>63</v>
      </c>
      <c r="N14" s="37">
        <v>67</v>
      </c>
    </row>
    <row r="15" spans="1:14">
      <c r="A15" s="34" t="s">
        <v>94</v>
      </c>
      <c r="B15">
        <v>120</v>
      </c>
      <c r="C15">
        <v>121</v>
      </c>
      <c r="D15">
        <v>118</v>
      </c>
      <c r="E15">
        <v>120</v>
      </c>
      <c r="F15">
        <v>114</v>
      </c>
      <c r="G15">
        <v>111</v>
      </c>
      <c r="H15">
        <v>121</v>
      </c>
      <c r="I15">
        <v>116</v>
      </c>
      <c r="J15">
        <v>113</v>
      </c>
      <c r="K15">
        <v>117</v>
      </c>
      <c r="L15">
        <v>120</v>
      </c>
      <c r="M15">
        <v>123</v>
      </c>
      <c r="N15">
        <v>127</v>
      </c>
    </row>
    <row r="16" spans="1:14">
      <c r="A16" s="37" t="s">
        <v>95</v>
      </c>
      <c r="B16" s="37">
        <v>30</v>
      </c>
      <c r="C16" s="37">
        <v>30</v>
      </c>
      <c r="D16" s="37">
        <v>30</v>
      </c>
      <c r="E16" s="37">
        <v>30</v>
      </c>
      <c r="F16" s="37">
        <v>30</v>
      </c>
      <c r="G16" s="37">
        <v>30</v>
      </c>
      <c r="H16" s="37">
        <v>30</v>
      </c>
      <c r="I16" s="37">
        <v>30</v>
      </c>
      <c r="J16" s="37">
        <v>30</v>
      </c>
      <c r="K16" s="37">
        <v>30</v>
      </c>
      <c r="L16" s="37">
        <v>30</v>
      </c>
      <c r="M16" s="37">
        <v>30</v>
      </c>
      <c r="N16" s="37">
        <v>30</v>
      </c>
    </row>
    <row r="17" spans="1:14">
      <c r="A17" s="34" t="s">
        <v>96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>
      <c r="A18" s="34" t="s">
        <v>97</v>
      </c>
      <c r="B18">
        <v>-8.2208333333399997E-2</v>
      </c>
      <c r="C18">
        <v>0.43456249999999996</v>
      </c>
      <c r="D18">
        <v>2.0257421875000001</v>
      </c>
      <c r="E18">
        <v>1.4137500000000001</v>
      </c>
      <c r="F18">
        <v>-0.263666666667</v>
      </c>
      <c r="G18">
        <v>-0.138822916667</v>
      </c>
      <c r="H18">
        <v>-1.2751666666700001</v>
      </c>
      <c r="I18">
        <v>1.6090104166699999</v>
      </c>
      <c r="J18">
        <v>0.64641666666700004</v>
      </c>
      <c r="K18">
        <v>0.71617708333300001</v>
      </c>
      <c r="L18">
        <v>2.0938124999999999</v>
      </c>
      <c r="M18">
        <v>1.27878125</v>
      </c>
      <c r="N18">
        <v>0.135739583331</v>
      </c>
    </row>
    <row r="19" spans="1:14">
      <c r="A19" s="34" t="s">
        <v>98</v>
      </c>
      <c r="B19">
        <v>473.73918750000001</v>
      </c>
      <c r="C19">
        <v>419.325747917</v>
      </c>
      <c r="D19">
        <v>465.75244791699998</v>
      </c>
      <c r="E19">
        <v>486.78082291700002</v>
      </c>
      <c r="F19">
        <v>430.75039791699999</v>
      </c>
      <c r="G19">
        <v>462.07380625000002</v>
      </c>
      <c r="H19">
        <v>479.37059583299998</v>
      </c>
      <c r="I19">
        <v>454.06452291699998</v>
      </c>
      <c r="J19">
        <v>447.55513333300001</v>
      </c>
      <c r="K19">
        <v>454.02352291699998</v>
      </c>
      <c r="L19">
        <v>462.26192708299999</v>
      </c>
      <c r="M19">
        <v>479.452439583</v>
      </c>
      <c r="N19">
        <v>434.71805833299999</v>
      </c>
    </row>
    <row r="20" spans="1:14">
      <c r="A20" s="34" t="s">
        <v>99</v>
      </c>
      <c r="B20">
        <v>479.56970833299999</v>
      </c>
      <c r="C20">
        <v>423.10910208299998</v>
      </c>
      <c r="D20">
        <v>472.51095052099998</v>
      </c>
      <c r="E20">
        <v>492.91064583299999</v>
      </c>
      <c r="F20">
        <v>429.50281458299997</v>
      </c>
      <c r="G20">
        <v>468.39157708300002</v>
      </c>
      <c r="H20">
        <v>481.775283333</v>
      </c>
      <c r="I20">
        <v>462.17026249999998</v>
      </c>
      <c r="J20">
        <v>453.29009166700001</v>
      </c>
      <c r="K20">
        <v>453.79979374999999</v>
      </c>
      <c r="L20">
        <v>474.72229166699998</v>
      </c>
      <c r="M20">
        <v>477.422335417</v>
      </c>
      <c r="N20">
        <v>435.994058333</v>
      </c>
    </row>
    <row r="21" spans="1:14">
      <c r="A21" s="37" t="s">
        <v>100</v>
      </c>
      <c r="B21" s="42">
        <v>9.5805208327776337E-2</v>
      </c>
      <c r="C21" s="42">
        <v>7.0298611099999686E-2</v>
      </c>
      <c r="D21" s="42">
        <v>0.14640407985833334</v>
      </c>
      <c r="E21" s="42">
        <v>0.12572621526666611</v>
      </c>
      <c r="F21" s="42">
        <v>-2.5187500011116873E-2</v>
      </c>
      <c r="G21" s="42">
        <v>0.10298246527221662</v>
      </c>
      <c r="H21" s="42">
        <v>1.8825347222167044E-2</v>
      </c>
      <c r="I21" s="42">
        <v>0.16191249999450003</v>
      </c>
      <c r="J21" s="42">
        <v>0.10635625001111665</v>
      </c>
      <c r="K21" s="42">
        <v>8.2074652722168712E-3</v>
      </c>
      <c r="L21" s="42">
        <v>0.24256961806666649</v>
      </c>
      <c r="M21" s="42">
        <v>-1.2522048600000019E-2</v>
      </c>
      <c r="N21" s="42">
        <v>2.3528993055516839E-2</v>
      </c>
    </row>
    <row r="22" spans="1:14">
      <c r="A22" s="37" t="s">
        <v>101</v>
      </c>
      <c r="B22" s="42">
        <v>5.6661041663331808</v>
      </c>
      <c r="C22" s="42">
        <v>4.7227777770999815</v>
      </c>
      <c r="D22" s="42">
        <v>10.517178819283334</v>
      </c>
      <c r="E22" s="42">
        <v>8.957322915999967</v>
      </c>
      <c r="F22" s="42">
        <v>-1.6237916672673112</v>
      </c>
      <c r="G22" s="42">
        <v>5.1132828122160472</v>
      </c>
      <c r="H22" s="42">
        <v>-0.12682048611781038</v>
      </c>
      <c r="I22" s="42">
        <v>10.676110416362</v>
      </c>
      <c r="J22" s="42">
        <v>6.2832979172561823</v>
      </c>
      <c r="K22" s="42">
        <v>1.1840026038493616</v>
      </c>
      <c r="L22" s="42">
        <v>16.647989583999991</v>
      </c>
      <c r="M22" s="42">
        <v>0.4898921881999988</v>
      </c>
      <c r="N22" s="42">
        <v>1.7121821180506283</v>
      </c>
    </row>
    <row r="23" spans="1:14">
      <c r="A23" s="37" t="s">
        <v>102</v>
      </c>
      <c r="B23" s="42">
        <v>1.2105169829417615</v>
      </c>
      <c r="C23" s="42">
        <v>1.1391085248391657</v>
      </c>
      <c r="D23" s="42">
        <v>2.3102732879481298</v>
      </c>
      <c r="E23" s="42">
        <v>1.8746091215650171</v>
      </c>
      <c r="F23" s="42">
        <v>-0.37555240492699282</v>
      </c>
      <c r="G23" s="42">
        <v>1.1189769246910077</v>
      </c>
      <c r="H23" s="42">
        <v>-2.6448627625849E-2</v>
      </c>
      <c r="I23" s="42">
        <v>2.4078460589780613</v>
      </c>
      <c r="J23" s="42">
        <v>1.4239064025775356</v>
      </c>
      <c r="K23" s="42">
        <v>0.26146185364532498</v>
      </c>
      <c r="L23" s="43">
        <v>3.7359669846586319</v>
      </c>
      <c r="M23" s="42">
        <v>0.10228194059528201</v>
      </c>
      <c r="N23" s="42">
        <v>0.39541775576289878</v>
      </c>
    </row>
    <row r="24" spans="1:14">
      <c r="A24" s="37" t="s">
        <v>103</v>
      </c>
      <c r="B24" s="42">
        <v>468.07308333366683</v>
      </c>
      <c r="C24" s="42">
        <v>414.60297013990004</v>
      </c>
      <c r="D24" s="42">
        <v>455.23526909771664</v>
      </c>
      <c r="E24" s="42">
        <v>477.82350000100007</v>
      </c>
      <c r="F24" s="42">
        <v>432.3741895842673</v>
      </c>
      <c r="G24" s="42">
        <v>456.96052343778399</v>
      </c>
      <c r="H24" s="42">
        <v>479.4974163191178</v>
      </c>
      <c r="I24" s="42">
        <v>443.38841250063797</v>
      </c>
      <c r="J24" s="42">
        <v>441.27183541574385</v>
      </c>
      <c r="K24" s="42">
        <v>452.83952031315062</v>
      </c>
      <c r="L24" s="42">
        <v>445.61393749899997</v>
      </c>
      <c r="M24" s="42">
        <v>478.96254739480003</v>
      </c>
      <c r="N24" s="42">
        <v>433.00587621494935</v>
      </c>
    </row>
    <row r="25" spans="1:14">
      <c r="A25" s="35"/>
    </row>
    <row r="26" spans="1:14">
      <c r="A26" s="35" t="s">
        <v>104</v>
      </c>
      <c r="B26" s="44">
        <v>1.2625285078596573E-3</v>
      </c>
      <c r="C26" s="44">
        <f t="shared" ref="C26:N26" si="1">$B$26</f>
        <v>1.2625285078596573E-3</v>
      </c>
      <c r="D26" s="44">
        <f t="shared" si="1"/>
        <v>1.2625285078596573E-3</v>
      </c>
      <c r="E26" s="44">
        <f t="shared" si="1"/>
        <v>1.2625285078596573E-3</v>
      </c>
      <c r="F26" s="44">
        <f t="shared" si="1"/>
        <v>1.2625285078596573E-3</v>
      </c>
      <c r="G26" s="44">
        <f t="shared" si="1"/>
        <v>1.2625285078596573E-3</v>
      </c>
      <c r="H26" s="44">
        <f t="shared" si="1"/>
        <v>1.2625285078596573E-3</v>
      </c>
      <c r="I26" s="44">
        <f t="shared" si="1"/>
        <v>1.2625285078596573E-3</v>
      </c>
      <c r="J26" s="44">
        <f t="shared" si="1"/>
        <v>1.2625285078596573E-3</v>
      </c>
      <c r="K26" s="44">
        <f t="shared" si="1"/>
        <v>1.2625285078596573E-3</v>
      </c>
      <c r="L26" s="44">
        <f t="shared" si="1"/>
        <v>1.2625285078596573E-3</v>
      </c>
      <c r="M26" s="44">
        <f t="shared" si="1"/>
        <v>1.2625285078596573E-3</v>
      </c>
      <c r="N26" s="44">
        <f t="shared" si="1"/>
        <v>1.2625285078596573E-3</v>
      </c>
    </row>
    <row r="27" spans="1:14">
      <c r="A27" s="37" t="s">
        <v>105</v>
      </c>
      <c r="B27" s="42">
        <v>0.59095561147052345</v>
      </c>
      <c r="C27" s="42">
        <v>0.52344806924491005</v>
      </c>
      <c r="D27" s="42">
        <v>0.57474750501902971</v>
      </c>
      <c r="E27" s="42">
        <v>0.60326579047654161</v>
      </c>
      <c r="F27" s="42">
        <v>0.54588474041285351</v>
      </c>
      <c r="G27" s="42">
        <v>0.57692568780667342</v>
      </c>
      <c r="H27" s="42">
        <v>0.6053791575479367</v>
      </c>
      <c r="I27" s="42">
        <v>0.55979051083669262</v>
      </c>
      <c r="J27" s="42">
        <v>0.5571182719279314</v>
      </c>
      <c r="K27" s="42">
        <v>0.57172280388084495</v>
      </c>
      <c r="L27" s="42">
        <v>0.56260029959207902</v>
      </c>
      <c r="M27" s="42">
        <v>0.60470387028301731</v>
      </c>
      <c r="N27" s="42">
        <v>0.54668226279212351</v>
      </c>
    </row>
    <row r="28" spans="1:14">
      <c r="A28" s="42" t="s">
        <v>106</v>
      </c>
      <c r="B28" s="42">
        <v>5.6899250093445361E-2</v>
      </c>
      <c r="C28" s="42">
        <v>5.6847097007483714E-2</v>
      </c>
      <c r="D28" s="42">
        <v>5.5844102702976073E-2</v>
      </c>
      <c r="E28" s="42">
        <v>5.6464413185748935E-2</v>
      </c>
      <c r="F28" s="42">
        <v>5.6011157440268161E-2</v>
      </c>
      <c r="G28" s="42">
        <v>5.6230573860299553E-2</v>
      </c>
      <c r="H28" s="42">
        <v>5.6789789638643215E-2</v>
      </c>
      <c r="I28" s="42">
        <v>5.6476040237761559E-2</v>
      </c>
      <c r="J28" s="42">
        <v>5.6342867306627367E-2</v>
      </c>
      <c r="K28" s="42">
        <v>5.6084246015386002E-2</v>
      </c>
      <c r="L28" s="42">
        <v>5.7667107379261888E-2</v>
      </c>
      <c r="M28" s="42">
        <v>5.644053297396092E-2</v>
      </c>
      <c r="N28" s="42">
        <v>5.6335764920870099E-2</v>
      </c>
    </row>
    <row r="29" spans="1:14">
      <c r="A29" s="42" t="s">
        <v>107</v>
      </c>
      <c r="B29" s="42">
        <v>70.060381207649812</v>
      </c>
      <c r="C29" s="42">
        <v>69.996164806245091</v>
      </c>
      <c r="D29" s="42">
        <v>68.761172021498325</v>
      </c>
      <c r="E29" s="42">
        <v>69.524963966362193</v>
      </c>
      <c r="F29" s="42">
        <v>68.966867501807926</v>
      </c>
      <c r="G29" s="42">
        <v>69.237036229961134</v>
      </c>
      <c r="H29" s="42">
        <v>69.925601906024454</v>
      </c>
      <c r="I29" s="42">
        <v>69.539280423872398</v>
      </c>
      <c r="J29" s="42">
        <v>69.375303810710037</v>
      </c>
      <c r="K29" s="42">
        <v>69.05686189411135</v>
      </c>
      <c r="L29" s="42">
        <v>71.005848398676548</v>
      </c>
      <c r="M29" s="42">
        <v>69.495560121171962</v>
      </c>
      <c r="N29" s="42">
        <v>69.366558601365085</v>
      </c>
    </row>
    <row r="31" spans="1:14">
      <c r="B31" s="41">
        <f>AVERAGE(B29:N29)</f>
        <v>69.562430837650481</v>
      </c>
    </row>
    <row r="32" spans="1:14">
      <c r="B32" s="41">
        <f>2*STDEV(B29:N29)/SQRT(B33)</f>
        <v>0.32381595159181786</v>
      </c>
    </row>
    <row r="33" spans="2:2">
      <c r="B33">
        <v>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E6C27-68B2-4251-8502-9B63FA00083E}">
  <dimension ref="A1:R19"/>
  <sheetViews>
    <sheetView workbookViewId="0"/>
  </sheetViews>
  <sheetFormatPr defaultRowHeight="14.25"/>
  <sheetData>
    <row r="1" spans="1:18" ht="15">
      <c r="A1" s="71" t="s">
        <v>176</v>
      </c>
      <c r="H1" t="s">
        <v>177</v>
      </c>
    </row>
    <row r="3" spans="1:18" ht="18.75">
      <c r="A3" s="63" t="s">
        <v>161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</row>
    <row r="4" spans="1:18" ht="18.75">
      <c r="A4" s="63" t="s">
        <v>162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Q4" s="72" t="s">
        <v>178</v>
      </c>
      <c r="R4" s="72"/>
    </row>
    <row r="5" spans="1:18" ht="15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Q5" s="72">
        <v>-11740.788872948673</v>
      </c>
      <c r="R5" s="72">
        <v>9.0792895160253053</v>
      </c>
    </row>
    <row r="6" spans="1:18">
      <c r="A6" s="65"/>
      <c r="B6" s="65"/>
      <c r="C6" s="66">
        <v>1</v>
      </c>
      <c r="D6" s="66">
        <v>2</v>
      </c>
      <c r="E6" s="66">
        <v>3</v>
      </c>
      <c r="F6" s="66">
        <v>4</v>
      </c>
      <c r="G6" s="66">
        <v>5</v>
      </c>
      <c r="H6" s="66"/>
      <c r="I6" s="65"/>
      <c r="J6" s="65"/>
      <c r="K6" s="65"/>
      <c r="L6" s="65"/>
      <c r="M6" s="65"/>
      <c r="N6" s="65"/>
    </row>
    <row r="7" spans="1:18">
      <c r="A7" s="65" t="s">
        <v>163</v>
      </c>
      <c r="B7" s="65"/>
      <c r="C7" s="65">
        <v>165.577</v>
      </c>
      <c r="D7" s="65">
        <v>169.53200000000001</v>
      </c>
      <c r="E7" s="65">
        <v>168.72399999999999</v>
      </c>
      <c r="F7" s="65">
        <v>164.07400000000001</v>
      </c>
      <c r="G7" s="65">
        <v>168.82400000000001</v>
      </c>
      <c r="H7" s="65"/>
      <c r="I7" s="65"/>
      <c r="J7" s="65"/>
      <c r="K7" s="65"/>
      <c r="L7" s="65"/>
      <c r="M7" s="65"/>
      <c r="N7" s="65"/>
    </row>
    <row r="8" spans="1:18">
      <c r="A8" s="65" t="s">
        <v>164</v>
      </c>
      <c r="B8" s="65"/>
      <c r="C8" s="65">
        <v>5363</v>
      </c>
      <c r="D8" s="65">
        <v>5363</v>
      </c>
      <c r="E8" s="65">
        <v>5363</v>
      </c>
      <c r="F8" s="65">
        <v>5363</v>
      </c>
      <c r="G8" s="65">
        <v>5363</v>
      </c>
      <c r="H8" s="65"/>
      <c r="I8" s="65"/>
      <c r="J8" s="65"/>
      <c r="K8" s="65"/>
      <c r="L8" s="65"/>
      <c r="M8" s="65"/>
      <c r="N8" s="65"/>
    </row>
    <row r="9" spans="1:18">
      <c r="A9" s="65" t="s">
        <v>165</v>
      </c>
      <c r="B9" s="65"/>
      <c r="C9" s="65">
        <f>C7*C8/1000000</f>
        <v>0.88798945100000004</v>
      </c>
      <c r="D9" s="65">
        <f>D7*D8/1000000</f>
        <v>0.90920011600000006</v>
      </c>
      <c r="E9" s="65">
        <f>E7*E8/1000000</f>
        <v>0.90486681199999996</v>
      </c>
      <c r="F9" s="65">
        <f>F7*F8/1000000</f>
        <v>0.87992886200000009</v>
      </c>
      <c r="G9" s="65">
        <f>G7*G8/1000000</f>
        <v>0.90540311200000012</v>
      </c>
      <c r="H9" s="65"/>
      <c r="I9" s="65"/>
      <c r="J9" s="65"/>
      <c r="K9" s="65"/>
      <c r="L9" s="65"/>
      <c r="M9" s="65"/>
      <c r="N9" s="65"/>
    </row>
    <row r="10" spans="1:18">
      <c r="A10" s="65" t="s">
        <v>166</v>
      </c>
      <c r="B10" s="65"/>
      <c r="C10" s="65">
        <v>15.03</v>
      </c>
      <c r="D10" s="65">
        <v>15.42</v>
      </c>
      <c r="E10" s="65">
        <v>15.32</v>
      </c>
      <c r="F10" s="65">
        <v>14.95</v>
      </c>
      <c r="G10" s="65">
        <v>15.25</v>
      </c>
      <c r="H10" s="65"/>
      <c r="I10" s="65"/>
      <c r="J10" s="65"/>
      <c r="K10" s="65"/>
      <c r="L10" s="65"/>
      <c r="M10" s="65"/>
      <c r="N10" s="65"/>
    </row>
    <row r="11" spans="1:18">
      <c r="A11" s="65" t="s">
        <v>167</v>
      </c>
      <c r="B11" s="65"/>
      <c r="C11" s="65">
        <f>C9/C10/0.001</f>
        <v>59.081134464404528</v>
      </c>
      <c r="D11" s="65">
        <f>D9/D10/0.001</f>
        <v>58.96239403372244</v>
      </c>
      <c r="E11" s="65">
        <f>E9/E10/0.001</f>
        <v>59.064413315926892</v>
      </c>
      <c r="F11" s="65">
        <f>F9/F10/0.001</f>
        <v>58.858117859531781</v>
      </c>
      <c r="G11" s="65">
        <f>G9/G10/0.001</f>
        <v>59.370695868852472</v>
      </c>
      <c r="H11" s="65"/>
      <c r="I11" s="65"/>
      <c r="J11" s="65"/>
      <c r="K11" s="65"/>
      <c r="L11" s="65"/>
      <c r="M11" s="65"/>
      <c r="N11" s="65"/>
    </row>
    <row r="12" spans="1:18">
      <c r="A12" s="65" t="s">
        <v>168</v>
      </c>
      <c r="B12" s="65"/>
      <c r="C12" s="67">
        <v>1231.3117629999999</v>
      </c>
      <c r="D12" s="67">
        <v>1231.3117629999999</v>
      </c>
      <c r="E12" s="67">
        <v>1231.3117629999999</v>
      </c>
      <c r="F12" s="67">
        <v>1231.3117629999999</v>
      </c>
      <c r="G12" s="67">
        <v>1231.3117629999999</v>
      </c>
      <c r="H12" s="67"/>
      <c r="I12" s="65"/>
      <c r="J12" s="65"/>
      <c r="K12" s="65"/>
      <c r="L12" s="65"/>
      <c r="M12" s="65"/>
      <c r="N12" s="65"/>
    </row>
    <row r="13" spans="1:18">
      <c r="A13" s="68" t="s">
        <v>169</v>
      </c>
      <c r="B13" s="68"/>
      <c r="C13" s="68">
        <f>C11*C12/1000</f>
        <v>72.747295837406</v>
      </c>
      <c r="D13" s="68">
        <f>D11*D12/1000</f>
        <v>72.601089348363459</v>
      </c>
      <c r="E13" s="68">
        <f>E11*E12/1000</f>
        <v>72.726706890594613</v>
      </c>
      <c r="F13" s="68">
        <f>F11*F12/1000</f>
        <v>72.472692868481857</v>
      </c>
      <c r="G13" s="68">
        <f>G11*G12/1000</f>
        <v>73.103836200813546</v>
      </c>
      <c r="H13" s="68"/>
      <c r="I13" s="68"/>
      <c r="J13" s="68"/>
      <c r="K13" s="68"/>
      <c r="L13" s="68"/>
      <c r="M13" s="68"/>
      <c r="N13" s="68"/>
    </row>
    <row r="14" spans="1:18">
      <c r="A14" s="65"/>
      <c r="B14" s="65"/>
      <c r="C14" s="66" t="s">
        <v>170</v>
      </c>
      <c r="D14" s="66" t="s">
        <v>170</v>
      </c>
      <c r="E14" s="66" t="s">
        <v>171</v>
      </c>
      <c r="F14" s="66" t="s">
        <v>171</v>
      </c>
      <c r="G14" s="66" t="s">
        <v>171</v>
      </c>
      <c r="H14" s="66"/>
      <c r="I14" s="65"/>
      <c r="J14" s="65"/>
      <c r="K14" s="65"/>
      <c r="L14" s="65"/>
      <c r="M14" s="65"/>
      <c r="N14" s="65"/>
    </row>
    <row r="15" spans="1:18">
      <c r="A15" s="65"/>
      <c r="B15" s="65"/>
      <c r="C15" s="66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</row>
    <row r="16" spans="1:18" ht="15.75">
      <c r="A16" s="69" t="s">
        <v>172</v>
      </c>
      <c r="B16" s="70">
        <f>AVERAGE(C13:G13)</f>
        <v>72.730324229131895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</row>
    <row r="17" spans="1:14" ht="15.75">
      <c r="A17" s="69" t="s">
        <v>173</v>
      </c>
      <c r="B17" s="70">
        <f>2*STDEV(C13:G13)/SQRT(B19)</f>
        <v>0.21113402663362407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</row>
    <row r="18" spans="1:14" ht="15.75">
      <c r="A18" s="69" t="s">
        <v>174</v>
      </c>
      <c r="B18" s="70">
        <f>ABS(100*B17/B16)</f>
        <v>0.29029710629153915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</row>
    <row r="19" spans="1:14" ht="15.75">
      <c r="A19" s="69" t="s">
        <v>175</v>
      </c>
      <c r="B19" s="69">
        <v>5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</row>
  </sheetData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BACB1-4574-4822-939C-243B21D64C97}">
  <dimension ref="A1:K37"/>
  <sheetViews>
    <sheetView zoomScale="160" zoomScaleNormal="160" workbookViewId="0"/>
  </sheetViews>
  <sheetFormatPr defaultRowHeight="14.25"/>
  <cols>
    <col min="1" max="1" width="28.125" customWidth="1"/>
  </cols>
  <sheetData>
    <row r="1" spans="1:11" ht="15">
      <c r="A1" s="45"/>
      <c r="B1" s="45" t="s">
        <v>108</v>
      </c>
      <c r="C1" s="45"/>
      <c r="D1" s="45"/>
      <c r="E1" s="45" t="s">
        <v>120</v>
      </c>
      <c r="H1" s="45" t="s">
        <v>109</v>
      </c>
      <c r="I1" s="45"/>
    </row>
    <row r="2" spans="1:11" ht="15">
      <c r="A2" s="45" t="s">
        <v>114</v>
      </c>
      <c r="B2" s="46">
        <v>-149.67553775409601</v>
      </c>
      <c r="C2" s="46">
        <v>0.59874482778567706</v>
      </c>
      <c r="D2" s="45">
        <v>9</v>
      </c>
      <c r="E2" s="45">
        <v>1</v>
      </c>
      <c r="H2" s="45">
        <v>-601.6</v>
      </c>
      <c r="I2" s="45">
        <v>0.30000000000000004</v>
      </c>
      <c r="J2" s="45">
        <v>13</v>
      </c>
    </row>
    <row r="3" spans="1:11" ht="19.5">
      <c r="A3" s="47" t="s">
        <v>111</v>
      </c>
      <c r="B3" s="46">
        <v>-46.622247084897701</v>
      </c>
      <c r="C3" s="46">
        <v>0.12722240761553402</v>
      </c>
      <c r="D3" s="48">
        <v>12</v>
      </c>
      <c r="E3" s="45">
        <v>2</v>
      </c>
    </row>
    <row r="4" spans="1:11" ht="15">
      <c r="A4" s="47" t="s">
        <v>116</v>
      </c>
      <c r="B4" s="46">
        <f>lepido!B5</f>
        <v>-47.947407084897705</v>
      </c>
      <c r="C4" s="46">
        <v>0.12722240761553402</v>
      </c>
      <c r="D4" s="48"/>
      <c r="E4" s="45">
        <v>3</v>
      </c>
      <c r="H4" s="45">
        <v>-549.4</v>
      </c>
      <c r="I4" s="45">
        <v>1.4</v>
      </c>
      <c r="J4" s="45">
        <v>14</v>
      </c>
    </row>
    <row r="5" spans="1:11" ht="19.5">
      <c r="A5" s="50" t="s">
        <v>113</v>
      </c>
      <c r="B5" s="46">
        <v>-53.496122087619703</v>
      </c>
      <c r="C5" s="46">
        <v>0.47953307096115205</v>
      </c>
      <c r="D5" s="45">
        <v>7</v>
      </c>
      <c r="E5" s="45">
        <v>4</v>
      </c>
      <c r="H5" s="53">
        <v>-1288.6400000000001</v>
      </c>
      <c r="I5" s="53">
        <v>1.28</v>
      </c>
      <c r="J5">
        <v>15</v>
      </c>
      <c r="K5" t="s">
        <v>137</v>
      </c>
    </row>
    <row r="6" spans="1:11" ht="19.5">
      <c r="A6" s="47" t="s">
        <v>112</v>
      </c>
      <c r="B6" s="45">
        <v>-0.54</v>
      </c>
      <c r="C6" s="45"/>
      <c r="D6" s="45"/>
      <c r="E6" s="45">
        <v>5</v>
      </c>
      <c r="H6" s="45">
        <v>-285.83</v>
      </c>
      <c r="I6" s="45">
        <v>0.04</v>
      </c>
      <c r="J6" s="45">
        <v>16</v>
      </c>
    </row>
    <row r="7" spans="1:11" ht="15">
      <c r="A7" s="45" t="s">
        <v>110</v>
      </c>
      <c r="B7" s="46">
        <f>0.4*0.162*21.8</f>
        <v>1.4126400000000003</v>
      </c>
      <c r="C7" s="46">
        <f>0.4*0.162*2.6</f>
        <v>0.16848000000000005</v>
      </c>
      <c r="D7" s="45"/>
      <c r="E7" s="45">
        <v>6</v>
      </c>
      <c r="H7" s="45"/>
      <c r="I7" s="45"/>
    </row>
    <row r="8" spans="1:11" ht="19.5">
      <c r="A8" s="45" t="s">
        <v>134</v>
      </c>
      <c r="B8" s="46">
        <v>85.335209112785705</v>
      </c>
      <c r="C8" s="46">
        <v>0.23875134993571101</v>
      </c>
      <c r="D8" s="45"/>
      <c r="E8" s="45">
        <v>7</v>
      </c>
      <c r="H8" s="49">
        <v>-6062.4486399999996</v>
      </c>
      <c r="I8" s="49">
        <v>2</v>
      </c>
      <c r="J8" s="45">
        <v>17</v>
      </c>
    </row>
    <row r="9" spans="1:11" ht="19.5">
      <c r="A9" s="45" t="s">
        <v>135</v>
      </c>
      <c r="B9" s="46">
        <v>37.387597378679502</v>
      </c>
      <c r="C9" s="46">
        <v>0.19124553672274902</v>
      </c>
      <c r="D9" s="45"/>
      <c r="E9" s="45">
        <v>8</v>
      </c>
      <c r="H9" s="45">
        <v>-1437.7</v>
      </c>
      <c r="I9" s="45">
        <v>0.5</v>
      </c>
      <c r="J9" s="45">
        <v>18</v>
      </c>
    </row>
    <row r="10" spans="1:11" ht="18.75">
      <c r="A10" t="s">
        <v>115</v>
      </c>
      <c r="B10">
        <f>H!B31</f>
        <v>69.562430837650481</v>
      </c>
      <c r="C10">
        <f>H!B32</f>
        <v>0.32381595159181786</v>
      </c>
      <c r="E10" s="45">
        <v>9</v>
      </c>
    </row>
    <row r="12" spans="1:11" ht="15">
      <c r="A12" s="45" t="s">
        <v>129</v>
      </c>
      <c r="H12">
        <f>(4.66667*B4)+(6*B5)+(18.66667*B6)-B10-(6*B2)</f>
        <v>273.67933514032779</v>
      </c>
      <c r="I12">
        <f>SQRT((4.66667*C4)^2+(6*C5)^2+(18.66667*C6)^2+C10^2+(6*C2)^2)</f>
        <v>4.6520368063026902</v>
      </c>
    </row>
    <row r="13" spans="1:11" ht="15">
      <c r="A13" s="45" t="s">
        <v>130</v>
      </c>
    </row>
    <row r="14" spans="1:11" ht="15">
      <c r="A14" s="45" t="s">
        <v>133</v>
      </c>
      <c r="H14">
        <f>(4.66667*B4)+(6*B5)+(18.66667*B6)-B10-(6*B2)+(4.66667*H4)+(6*H5)+(18.66667*H6)-(6*H2)</f>
        <v>-11747.923448959671</v>
      </c>
      <c r="I14">
        <f>SQRT((4.66667*C4)^2+(6*C5)^2+(18.66667*C6)^2+C10^2+(6*C2)^2+(4.66667*I4)^2+(6*I5)^2+(18.66667*I6)^2+(6*I2)^2)</f>
        <v>11.274123610270607</v>
      </c>
    </row>
    <row r="15" spans="1:11" ht="15">
      <c r="A15" s="45" t="s">
        <v>136</v>
      </c>
    </row>
    <row r="17" spans="1:7">
      <c r="B17" t="s">
        <v>123</v>
      </c>
    </row>
    <row r="18" spans="1:7" ht="15">
      <c r="B18" s="45" t="s">
        <v>129</v>
      </c>
    </row>
    <row r="20" spans="1:7">
      <c r="B20" s="51"/>
      <c r="C20" s="51" t="s">
        <v>126</v>
      </c>
      <c r="D20" s="51" t="s">
        <v>127</v>
      </c>
      <c r="E20" s="51" t="s">
        <v>22</v>
      </c>
      <c r="F20" s="51" t="s">
        <v>128</v>
      </c>
      <c r="G20" s="51" t="s">
        <v>20</v>
      </c>
    </row>
    <row r="21" spans="1:7">
      <c r="A21" t="s">
        <v>116</v>
      </c>
      <c r="B21" s="51">
        <f>-(4+(2/3))</f>
        <v>-4.666666666666667</v>
      </c>
      <c r="C21" s="51">
        <f>B21</f>
        <v>-4.666666666666667</v>
      </c>
      <c r="D21" s="51">
        <v>0</v>
      </c>
      <c r="E21" s="51">
        <v>0</v>
      </c>
      <c r="F21" s="51">
        <f>2*B21</f>
        <v>-9.3333333333333339</v>
      </c>
      <c r="G21" s="51">
        <f>B21</f>
        <v>-4.666666666666667</v>
      </c>
    </row>
    <row r="22" spans="1:7">
      <c r="A22" t="s">
        <v>124</v>
      </c>
      <c r="B22" s="51">
        <v>-6</v>
      </c>
      <c r="C22" s="51">
        <v>0</v>
      </c>
      <c r="D22" s="51">
        <f>B22</f>
        <v>-6</v>
      </c>
      <c r="E22" s="51">
        <f>B22</f>
        <v>-6</v>
      </c>
      <c r="F22" s="51">
        <f>4*B22</f>
        <v>-24</v>
      </c>
      <c r="G22" s="51">
        <v>0</v>
      </c>
    </row>
    <row r="23" spans="1:7">
      <c r="A23" t="s">
        <v>125</v>
      </c>
      <c r="B23" s="51">
        <f>-(18+(2/3))</f>
        <v>-18.666666666666668</v>
      </c>
      <c r="C23" s="51">
        <v>0</v>
      </c>
      <c r="D23" s="51">
        <v>0</v>
      </c>
      <c r="E23" s="51">
        <v>0</v>
      </c>
      <c r="F23" s="51">
        <f>B23</f>
        <v>-18.666666666666668</v>
      </c>
      <c r="G23" s="51">
        <f>2*B23</f>
        <v>-37.333333333333336</v>
      </c>
    </row>
    <row r="24" spans="1:7">
      <c r="A24" t="s">
        <v>114</v>
      </c>
      <c r="B24" s="51">
        <v>6</v>
      </c>
      <c r="C24" s="51">
        <v>0</v>
      </c>
      <c r="D24" s="51">
        <f>B24</f>
        <v>6</v>
      </c>
      <c r="E24" s="51">
        <v>0</v>
      </c>
      <c r="F24" s="51">
        <f>B24</f>
        <v>6</v>
      </c>
      <c r="G24" s="51">
        <v>0</v>
      </c>
    </row>
    <row r="25" spans="1:7" ht="18.75">
      <c r="A25" t="s">
        <v>115</v>
      </c>
      <c r="B25" s="51">
        <v>1</v>
      </c>
      <c r="C25" s="51">
        <f>B25*(4+(2/3))</f>
        <v>4.666666666666667</v>
      </c>
      <c r="D25" s="51">
        <v>0</v>
      </c>
      <c r="E25" s="51">
        <f>6*B25</f>
        <v>6</v>
      </c>
      <c r="F25" s="51">
        <f>B25*((4*6)+2+20)</f>
        <v>46</v>
      </c>
      <c r="G25" s="51">
        <f>B25*(2+(20*2))</f>
        <v>42</v>
      </c>
    </row>
    <row r="26" spans="1:7">
      <c r="B26" s="51"/>
      <c r="C26" s="51">
        <f>SUM(C21:C25)</f>
        <v>0</v>
      </c>
      <c r="D26" s="51">
        <f t="shared" ref="D26:G26" si="0">SUM(D21:D25)</f>
        <v>0</v>
      </c>
      <c r="E26" s="51">
        <f t="shared" si="0"/>
        <v>0</v>
      </c>
      <c r="F26" s="51">
        <f t="shared" si="0"/>
        <v>0</v>
      </c>
      <c r="G26" s="51">
        <f t="shared" si="0"/>
        <v>0</v>
      </c>
    </row>
    <row r="28" spans="1:7">
      <c r="B28" t="s">
        <v>123</v>
      </c>
    </row>
    <row r="29" spans="1:7" ht="15">
      <c r="B29" s="45" t="s">
        <v>133</v>
      </c>
    </row>
    <row r="31" spans="1:7">
      <c r="B31" s="51"/>
      <c r="C31" s="51" t="s">
        <v>126</v>
      </c>
      <c r="D31" s="51" t="s">
        <v>127</v>
      </c>
      <c r="E31" s="51" t="s">
        <v>22</v>
      </c>
      <c r="F31" s="51" t="s">
        <v>128</v>
      </c>
      <c r="G31" s="51" t="s">
        <v>20</v>
      </c>
    </row>
    <row r="32" spans="1:7">
      <c r="A32" t="s">
        <v>126</v>
      </c>
      <c r="B32" s="51">
        <f>-(4+(2/3))</f>
        <v>-4.666666666666667</v>
      </c>
      <c r="C32" s="51">
        <f>B32</f>
        <v>-4.666666666666667</v>
      </c>
      <c r="D32" s="51">
        <v>0</v>
      </c>
      <c r="E32" s="51">
        <v>0</v>
      </c>
      <c r="F32" s="51">
        <v>0</v>
      </c>
      <c r="G32" s="51">
        <v>0</v>
      </c>
    </row>
    <row r="33" spans="1:7">
      <c r="A33" t="s">
        <v>22</v>
      </c>
      <c r="B33" s="51">
        <v>-6</v>
      </c>
      <c r="C33" s="51">
        <v>0</v>
      </c>
      <c r="D33" s="51">
        <v>0</v>
      </c>
      <c r="E33" s="51">
        <f>B33</f>
        <v>-6</v>
      </c>
      <c r="F33" s="51">
        <v>0</v>
      </c>
      <c r="G33" s="51">
        <v>0</v>
      </c>
    </row>
    <row r="34" spans="1:7">
      <c r="A34" t="s">
        <v>131</v>
      </c>
      <c r="B34" s="51">
        <v>-21</v>
      </c>
      <c r="C34" s="51">
        <v>0</v>
      </c>
      <c r="D34" s="51">
        <v>0</v>
      </c>
      <c r="E34" s="51">
        <v>0</v>
      </c>
      <c r="F34" s="51">
        <v>0</v>
      </c>
      <c r="G34" s="51">
        <f>2*B34</f>
        <v>-42</v>
      </c>
    </row>
    <row r="35" spans="1:7">
      <c r="A35" t="s">
        <v>132</v>
      </c>
      <c r="B35" s="51">
        <v>-23</v>
      </c>
      <c r="C35" s="51">
        <v>0</v>
      </c>
      <c r="D35" s="51">
        <v>0</v>
      </c>
      <c r="E35" s="51">
        <v>0</v>
      </c>
      <c r="F35" s="51">
        <f>2*B35</f>
        <v>-46</v>
      </c>
      <c r="G35" s="51">
        <v>0</v>
      </c>
    </row>
    <row r="36" spans="1:7" ht="18.75">
      <c r="A36" t="s">
        <v>115</v>
      </c>
      <c r="B36" s="51">
        <v>1</v>
      </c>
      <c r="C36" s="51">
        <f>B36*(4+(2/3))</f>
        <v>4.666666666666667</v>
      </c>
      <c r="D36" s="51">
        <v>0</v>
      </c>
      <c r="E36" s="51">
        <f>6*B36</f>
        <v>6</v>
      </c>
      <c r="F36" s="51">
        <f>B36*((4*6)+2+20)</f>
        <v>46</v>
      </c>
      <c r="G36" s="51">
        <f>B36*(2+(20*2))</f>
        <v>42</v>
      </c>
    </row>
    <row r="37" spans="1:7">
      <c r="B37" s="51"/>
      <c r="C37" s="51">
        <f>SUM(C32:C36)</f>
        <v>0</v>
      </c>
      <c r="D37" s="51">
        <f t="shared" ref="D37" si="1">SUM(D32:D36)</f>
        <v>0</v>
      </c>
      <c r="E37" s="51">
        <f t="shared" ref="E37" si="2">SUM(E32:E36)</f>
        <v>0</v>
      </c>
      <c r="F37" s="51">
        <f t="shared" ref="F37" si="3">SUM(F32:F36)</f>
        <v>0</v>
      </c>
      <c r="G37" s="51">
        <f t="shared" ref="G37" si="4">SUM(G32:G36)</f>
        <v>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E9114-7326-4BEA-AE42-E1FA1FB3CBC7}">
  <dimension ref="A1:E5"/>
  <sheetViews>
    <sheetView workbookViewId="0">
      <selection activeCell="C3" sqref="C3"/>
    </sheetView>
  </sheetViews>
  <sheetFormatPr defaultRowHeight="14.25"/>
  <cols>
    <col min="1" max="1" width="49.125" customWidth="1"/>
  </cols>
  <sheetData>
    <row r="1" spans="1:5">
      <c r="B1" s="51"/>
      <c r="C1" s="51"/>
      <c r="D1" s="51" t="s">
        <v>120</v>
      </c>
      <c r="E1" s="51"/>
    </row>
    <row r="2" spans="1:5">
      <c r="A2" t="s">
        <v>117</v>
      </c>
      <c r="B2" s="52">
        <f>cycle!B3</f>
        <v>-46.622247084897701</v>
      </c>
      <c r="C2" s="52">
        <f>cycle!C3</f>
        <v>0.12722240761553402</v>
      </c>
      <c r="D2" s="51">
        <v>2</v>
      </c>
      <c r="E2" s="51">
        <v>1</v>
      </c>
    </row>
    <row r="3" spans="1:5">
      <c r="A3" t="s">
        <v>118</v>
      </c>
      <c r="B3" s="52">
        <f>cycle!B7</f>
        <v>1.4126400000000003</v>
      </c>
      <c r="C3" s="51"/>
      <c r="D3" s="51" t="s">
        <v>121</v>
      </c>
      <c r="E3" s="51">
        <v>-1</v>
      </c>
    </row>
    <row r="4" spans="1:5">
      <c r="A4" t="s">
        <v>119</v>
      </c>
      <c r="B4" s="51">
        <f>cycle!B6</f>
        <v>-0.54</v>
      </c>
      <c r="C4" s="51"/>
      <c r="D4" s="51">
        <v>5</v>
      </c>
      <c r="E4" s="51">
        <v>-0.16200000000000001</v>
      </c>
    </row>
    <row r="5" spans="1:5">
      <c r="A5" t="s">
        <v>122</v>
      </c>
      <c r="B5">
        <f>(B2*E2)+(B3*E3)+(B4*E4)</f>
        <v>-47.947407084897705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6E569-1AF2-40E9-A24D-F8127CD13A81}">
  <dimension ref="A1:O20"/>
  <sheetViews>
    <sheetView tabSelected="1" zoomScale="160" zoomScaleNormal="160" workbookViewId="0"/>
  </sheetViews>
  <sheetFormatPr defaultRowHeight="14.25"/>
  <sheetData>
    <row r="1" spans="1:15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15" ht="16.5">
      <c r="A2" s="54"/>
      <c r="B2" s="45" t="s">
        <v>133</v>
      </c>
      <c r="K2" t="s">
        <v>155</v>
      </c>
      <c r="O2" s="54"/>
    </row>
    <row r="3" spans="1:15">
      <c r="A3" s="54"/>
      <c r="B3" s="55"/>
      <c r="C3" s="56"/>
      <c r="D3" s="55"/>
      <c r="E3" s="56"/>
      <c r="F3" s="55"/>
      <c r="G3" s="56"/>
      <c r="H3" s="55"/>
      <c r="I3" s="56"/>
      <c r="K3" s="57" t="s">
        <v>127</v>
      </c>
      <c r="L3">
        <v>32.67</v>
      </c>
      <c r="M3">
        <v>0.1</v>
      </c>
      <c r="N3" t="s">
        <v>138</v>
      </c>
      <c r="O3" s="54"/>
    </row>
    <row r="4" spans="1:15">
      <c r="A4" s="54"/>
      <c r="G4" t="s">
        <v>179</v>
      </c>
      <c r="K4" s="57" t="s">
        <v>158</v>
      </c>
      <c r="L4">
        <v>28.3</v>
      </c>
      <c r="M4">
        <v>0.08</v>
      </c>
      <c r="N4" t="s">
        <v>138</v>
      </c>
      <c r="O4" s="54"/>
    </row>
    <row r="5" spans="1:15">
      <c r="A5" s="54"/>
      <c r="B5" t="s">
        <v>139</v>
      </c>
      <c r="E5">
        <f>cycle!H14</f>
        <v>-11747.923448959671</v>
      </c>
      <c r="F5">
        <f>cycle!I14</f>
        <v>11.274123610270607</v>
      </c>
      <c r="G5">
        <v>-11670</v>
      </c>
      <c r="H5">
        <v>59</v>
      </c>
      <c r="I5">
        <f>G5-E5</f>
        <v>77.923448959671077</v>
      </c>
      <c r="K5" s="57" t="s">
        <v>126</v>
      </c>
      <c r="L5">
        <v>27.09</v>
      </c>
      <c r="M5">
        <v>0.13</v>
      </c>
      <c r="N5" t="s">
        <v>138</v>
      </c>
      <c r="O5" s="54"/>
    </row>
    <row r="6" spans="1:15">
      <c r="A6" s="54"/>
      <c r="B6" t="s">
        <v>140</v>
      </c>
      <c r="E6">
        <f>'S-6 sigdig'!E52</f>
        <v>1458.43</v>
      </c>
      <c r="F6">
        <f>0.012*E6</f>
        <v>17.501160000000002</v>
      </c>
      <c r="G6">
        <v>1371.6</v>
      </c>
      <c r="I6">
        <f>100*(E6-G6)/E6</f>
        <v>5.9536625000857182</v>
      </c>
      <c r="K6" t="s">
        <v>22</v>
      </c>
      <c r="L6">
        <v>32.049999999999997</v>
      </c>
      <c r="M6">
        <v>0.05</v>
      </c>
      <c r="N6" t="s">
        <v>138</v>
      </c>
      <c r="O6" s="54"/>
    </row>
    <row r="7" spans="1:15" ht="18.75">
      <c r="A7" s="54"/>
      <c r="B7" t="s">
        <v>141</v>
      </c>
      <c r="E7">
        <f>E6-(4.66667*L5)-(6*L6)-(23*L7)-(21*L8)</f>
        <v>-6323.0200903000004</v>
      </c>
      <c r="F7">
        <f>SQRT(F6^2+(4.66667*M5)^2+(6*M6)^2+(23*M7)^2+(21*M8)^2)</f>
        <v>17.525314442708936</v>
      </c>
      <c r="K7" t="s">
        <v>156</v>
      </c>
      <c r="L7">
        <v>205.15</v>
      </c>
      <c r="M7">
        <v>0.02</v>
      </c>
      <c r="N7" t="s">
        <v>138</v>
      </c>
      <c r="O7" s="54"/>
    </row>
    <row r="8" spans="1:15" ht="18.75">
      <c r="A8" s="54"/>
      <c r="B8" t="s">
        <v>142</v>
      </c>
      <c r="E8">
        <f>E5-(298.15*E7/1000)</f>
        <v>-9862.7150090367268</v>
      </c>
      <c r="F8">
        <f>SQRT(F5^2+(298.15*F7/1000)^2)</f>
        <v>12.426113263842664</v>
      </c>
      <c r="K8" t="s">
        <v>157</v>
      </c>
      <c r="L8">
        <v>130.68</v>
      </c>
      <c r="M8">
        <v>0.02</v>
      </c>
      <c r="N8" t="s">
        <v>138</v>
      </c>
      <c r="O8" s="54"/>
    </row>
    <row r="9" spans="1:15">
      <c r="A9" s="54"/>
      <c r="O9" s="54"/>
    </row>
    <row r="10" spans="1:15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</row>
    <row r="11" spans="1:15">
      <c r="A11" s="58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</row>
    <row r="12" spans="1:15" ht="15">
      <c r="A12" s="58"/>
      <c r="B12" s="45" t="s">
        <v>147</v>
      </c>
      <c r="O12" s="58"/>
    </row>
    <row r="13" spans="1:15" ht="18.75">
      <c r="A13" s="58"/>
      <c r="I13" s="61" t="s">
        <v>159</v>
      </c>
      <c r="K13" s="61" t="s">
        <v>160</v>
      </c>
      <c r="O13" s="58"/>
    </row>
    <row r="14" spans="1:15" ht="18.75">
      <c r="A14" s="58"/>
      <c r="B14" s="61" t="s">
        <v>153</v>
      </c>
      <c r="C14">
        <f>(4.66667*I14)+(6*I16)+(22*I17)-E8</f>
        <v>105.8896216167268</v>
      </c>
      <c r="D14">
        <f>SQRT((4.66667*J14)^2+(6*J16)^2+(22*J17)^2+F8^2)</f>
        <v>13.065721683145053</v>
      </c>
      <c r="H14" t="s">
        <v>145</v>
      </c>
      <c r="I14">
        <v>-16.225999999999999</v>
      </c>
      <c r="J14">
        <v>0.65</v>
      </c>
      <c r="K14">
        <v>-50.055999999999997</v>
      </c>
      <c r="L14">
        <v>0.97299999999999998</v>
      </c>
      <c r="M14" t="s">
        <v>146</v>
      </c>
      <c r="O14" s="58"/>
    </row>
    <row r="15" spans="1:15" ht="16.5">
      <c r="A15" s="58"/>
      <c r="B15" t="s">
        <v>143</v>
      </c>
      <c r="C15">
        <f>(-C14*1000)/(8.314*298.15)</f>
        <v>-42.717768963748426</v>
      </c>
      <c r="D15">
        <f>(D14*1000)/(8.314*298.15)</f>
        <v>5.2709460255268548</v>
      </c>
      <c r="H15" t="s">
        <v>148</v>
      </c>
      <c r="I15">
        <v>-90.718999999999994</v>
      </c>
      <c r="J15">
        <v>0.64100000000000001</v>
      </c>
      <c r="K15">
        <v>-90.295000000000002</v>
      </c>
      <c r="L15">
        <v>0.52200000000000002</v>
      </c>
      <c r="M15" t="s">
        <v>146</v>
      </c>
      <c r="O15" s="58"/>
    </row>
    <row r="16" spans="1:15" ht="18.75">
      <c r="A16" s="58"/>
      <c r="B16" t="s">
        <v>144</v>
      </c>
      <c r="C16">
        <f>C15/LN(10)</f>
        <v>-18.552091340173931</v>
      </c>
      <c r="D16">
        <f>D15/LN(10)</f>
        <v>2.2891427732961898</v>
      </c>
      <c r="H16" t="s">
        <v>152</v>
      </c>
      <c r="I16">
        <v>-744.00400000000002</v>
      </c>
      <c r="J16" s="59">
        <v>0.41799999999999998</v>
      </c>
      <c r="K16">
        <v>-909.34</v>
      </c>
      <c r="L16">
        <v>0.4</v>
      </c>
      <c r="M16" t="s">
        <v>146</v>
      </c>
      <c r="O16" s="58"/>
    </row>
    <row r="17" spans="1:15" ht="18.75">
      <c r="A17" s="58"/>
      <c r="B17" s="61" t="s">
        <v>154</v>
      </c>
      <c r="C17">
        <f>(4.66667*K14)+(6*K16)+(22*K17)-E5</f>
        <v>-229.97138456032917</v>
      </c>
      <c r="D17">
        <f>SQRT((4.66667*L14)^2+(6*L16)^2+(22*L17)^2+F5^2)</f>
        <v>12.420062254724835</v>
      </c>
      <c r="H17" t="s">
        <v>151</v>
      </c>
      <c r="I17">
        <v>-237.14</v>
      </c>
      <c r="J17" s="60">
        <v>4.1000000000000002E-2</v>
      </c>
      <c r="K17" s="62">
        <v>-285.83</v>
      </c>
      <c r="L17" s="62">
        <v>0.04</v>
      </c>
      <c r="M17" t="s">
        <v>146</v>
      </c>
      <c r="O17" s="58"/>
    </row>
    <row r="18" spans="1:15" ht="16.5">
      <c r="A18" s="58"/>
      <c r="H18" t="s">
        <v>149</v>
      </c>
      <c r="I18">
        <v>-455.375</v>
      </c>
      <c r="J18">
        <v>1.335</v>
      </c>
      <c r="K18">
        <v>-467</v>
      </c>
      <c r="L18">
        <v>0.6</v>
      </c>
      <c r="M18" t="s">
        <v>146</v>
      </c>
      <c r="O18" s="58"/>
    </row>
    <row r="19" spans="1:15" ht="16.5">
      <c r="A19" s="58"/>
      <c r="H19" t="s">
        <v>150</v>
      </c>
      <c r="I19">
        <v>-491.50700000000001</v>
      </c>
      <c r="J19">
        <v>3.3380000000000001</v>
      </c>
      <c r="K19">
        <v>-538.4</v>
      </c>
      <c r="L19">
        <v>1.5</v>
      </c>
      <c r="M19" t="s">
        <v>146</v>
      </c>
      <c r="O19" s="58"/>
    </row>
    <row r="20" spans="1:15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Cp</vt:lpstr>
      <vt:lpstr>fits</vt:lpstr>
      <vt:lpstr>S</vt:lpstr>
      <vt:lpstr>S-6 sigdig</vt:lpstr>
      <vt:lpstr>H</vt:lpstr>
      <vt:lpstr>Davis</vt:lpstr>
      <vt:lpstr>cycle</vt:lpstr>
      <vt:lpstr>lepido</vt:lpstr>
      <vt:lpstr>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 Majzlan</dc:creator>
  <cp:lastModifiedBy>Juraj Majzlan</cp:lastModifiedBy>
  <dcterms:created xsi:type="dcterms:W3CDTF">2024-05-13T18:03:06Z</dcterms:created>
  <dcterms:modified xsi:type="dcterms:W3CDTF">2024-05-27T05:49:21Z</dcterms:modified>
</cp:coreProperties>
</file>