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C:\Users\Juraj Majzlan\Documents\Juro\copiapite-thermo\"/>
    </mc:Choice>
  </mc:AlternateContent>
  <xr:revisionPtr revIDLastSave="0" documentId="13_ncr:1_{60C76A74-7C85-4B91-A956-DDA196D14BCD}" xr6:coauthVersionLast="36" xr6:coauthVersionMax="47" xr10:uidLastSave="{00000000-0000-0000-0000-000000000000}"/>
  <bookViews>
    <workbookView xWindow="-105" yWindow="-105" windowWidth="19425" windowHeight="10425" activeTab="2" xr2:uid="{D0529D9B-E526-4584-9911-6850C7E0FFFD}"/>
  </bookViews>
  <sheets>
    <sheet name="H" sheetId="1" r:id="rId1"/>
    <sheet name="melanterite" sheetId="2" r:id="rId2"/>
    <sheet name="cycle" sheetId="3" r:id="rId3"/>
    <sheet name="lepido" sheetId="4" r:id="rId4"/>
    <sheet name="G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4" l="1"/>
  <c r="E7" i="5" l="1"/>
  <c r="F7" i="5"/>
  <c r="E34" i="3" l="1"/>
  <c r="F36" i="3"/>
  <c r="E36" i="3"/>
  <c r="D36" i="3"/>
  <c r="C36" i="3"/>
  <c r="F35" i="3"/>
  <c r="D33" i="3"/>
  <c r="F37" i="3"/>
  <c r="C32" i="3"/>
  <c r="C37" i="3" s="1"/>
  <c r="G27" i="3"/>
  <c r="G26" i="3"/>
  <c r="G23" i="3"/>
  <c r="G22" i="3"/>
  <c r="F27" i="3"/>
  <c r="F26" i="3"/>
  <c r="F25" i="3"/>
  <c r="F24" i="3"/>
  <c r="F23" i="3"/>
  <c r="F22" i="3"/>
  <c r="E27" i="3"/>
  <c r="E24" i="3"/>
  <c r="E23" i="3"/>
  <c r="D25" i="3"/>
  <c r="D24" i="3"/>
  <c r="D28" i="3" s="1"/>
  <c r="C27" i="3"/>
  <c r="C23" i="3"/>
  <c r="C22" i="3"/>
  <c r="C7" i="3"/>
  <c r="B7" i="3"/>
  <c r="B5" i="4"/>
  <c r="D37" i="3" l="1"/>
  <c r="E37" i="3"/>
  <c r="G28" i="3"/>
  <c r="F28" i="3"/>
  <c r="E28" i="3"/>
  <c r="C28" i="3"/>
  <c r="B32" i="2" l="1"/>
  <c r="C10" i="3" s="1"/>
  <c r="B31" i="2"/>
  <c r="B10" i="3" s="1"/>
  <c r="B32" i="1"/>
  <c r="C11" i="3" s="1"/>
  <c r="B31" i="1"/>
  <c r="B11" i="3" s="1"/>
  <c r="M26" i="2"/>
  <c r="M6" i="2"/>
  <c r="F26" i="1"/>
  <c r="F6" i="1"/>
  <c r="H13" i="3" l="1"/>
  <c r="H15" i="3"/>
  <c r="E5" i="5" s="1"/>
  <c r="I5" i="5" s="1"/>
  <c r="I15" i="3"/>
  <c r="F5" i="5" s="1"/>
  <c r="I13" i="3"/>
  <c r="F6" i="2"/>
  <c r="J26" i="2"/>
  <c r="C6" i="2"/>
  <c r="G6" i="2"/>
  <c r="K6" i="2"/>
  <c r="C26" i="2"/>
  <c r="G26" i="2"/>
  <c r="K26" i="2"/>
  <c r="J6" i="2"/>
  <c r="D6" i="2"/>
  <c r="H6" i="2"/>
  <c r="L6" i="2"/>
  <c r="D26" i="2"/>
  <c r="H26" i="2"/>
  <c r="L26" i="2"/>
  <c r="F26" i="2"/>
  <c r="E6" i="2"/>
  <c r="I6" i="2"/>
  <c r="E26" i="2"/>
  <c r="I26" i="2"/>
  <c r="E6" i="1"/>
  <c r="D6" i="1"/>
  <c r="C26" i="1"/>
  <c r="D26" i="1"/>
  <c r="C6" i="1"/>
  <c r="E26" i="1"/>
  <c r="B26" i="1"/>
  <c r="D17" i="5" l="1"/>
  <c r="F8" i="5"/>
  <c r="D14" i="5" s="1"/>
  <c r="D15" i="5" s="1"/>
  <c r="D16" i="5" s="1"/>
  <c r="C17" i="5"/>
  <c r="E8" i="5"/>
  <c r="C14" i="5" s="1"/>
  <c r="C15" i="5" s="1"/>
  <c r="C16" i="5" s="1"/>
</calcChain>
</file>

<file path=xl/sharedStrings.xml><?xml version="1.0" encoding="utf-8"?>
<sst xmlns="http://schemas.openxmlformats.org/spreadsheetml/2006/main" count="162" uniqueCount="91">
  <si>
    <t>Säurelösungskalorimeter</t>
  </si>
  <si>
    <t>DropID</t>
  </si>
  <si>
    <t>Melanterit_1</t>
  </si>
  <si>
    <t>Melanterit_2</t>
  </si>
  <si>
    <t>Melanterit_3</t>
  </si>
  <si>
    <t>Fe2+-Cop</t>
  </si>
  <si>
    <t>Masse Pellet [mg]</t>
  </si>
  <si>
    <t>Raumtemp [°C]</t>
  </si>
  <si>
    <t>Kalorimetertemp [°C]</t>
  </si>
  <si>
    <t>Molengewicht [g/mol]</t>
  </si>
  <si>
    <t>Mol Probe</t>
  </si>
  <si>
    <t>Wärmekapazität Raumtemp [kJ/mol]</t>
  </si>
  <si>
    <t>Wärmekapazität Kalorimeter [kJ/mol]</t>
  </si>
  <si>
    <t>Absolute Wärmeinhalt [J/Pellet]</t>
  </si>
  <si>
    <t>t0</t>
  </si>
  <si>
    <t>t1</t>
  </si>
  <si>
    <t>t2</t>
  </si>
  <si>
    <t>Dauer</t>
  </si>
  <si>
    <t>t3</t>
  </si>
  <si>
    <t>t Baseline return</t>
  </si>
  <si>
    <t>V(0)</t>
  </si>
  <si>
    <t>V(0+t1)</t>
  </si>
  <si>
    <t>V(t2)</t>
  </si>
  <si>
    <t>V(t2+t3)</t>
  </si>
  <si>
    <t>Mittelwert Baseline [counts/min]</t>
  </si>
  <si>
    <t>Baselinekorrektur [Korrektur]</t>
  </si>
  <si>
    <t>% Baselinekorrektur</t>
  </si>
  <si>
    <t>Absolute Counts</t>
  </si>
  <si>
    <t>Kalibrationsfaktor</t>
  </si>
  <si>
    <t>dH [J]</t>
  </si>
  <si>
    <t>dH [kJ/g]</t>
  </si>
  <si>
    <t>dH [kJ/mol]</t>
  </si>
  <si>
    <t>reaction #</t>
  </si>
  <si>
    <t>FeOOH·0.162H2O + 3H+ = Fe3+ + 2.162H2O(aq)</t>
  </si>
  <si>
    <t>FeOOH·0.162H2O = FeOOH + 0.162H2O (l)</t>
  </si>
  <si>
    <t>A</t>
  </si>
  <si>
    <t>H2O (l) = H2O (aq)</t>
  </si>
  <si>
    <t>FeOOH + 3H+ = Fe3+ + 2H2O</t>
  </si>
  <si>
    <t>enthalpies of solution in 5 N HCl at 298.15 K</t>
  </si>
  <si>
    <t>formation enthalpies</t>
  </si>
  <si>
    <t>MgO</t>
  </si>
  <si>
    <r>
      <t>FeOOH·0.162H</t>
    </r>
    <r>
      <rPr>
        <vertAlign val="subscript"/>
        <sz val="12"/>
        <rFont val="Aptos"/>
        <family val="2"/>
      </rPr>
      <t>2</t>
    </r>
    <r>
      <rPr>
        <sz val="12"/>
        <rFont val="Aptos"/>
        <family val="2"/>
      </rPr>
      <t>O</t>
    </r>
  </si>
  <si>
    <t>FeOOH</t>
  </si>
  <si>
    <r>
      <rPr>
        <sz val="12"/>
        <color rgb="FF000000"/>
        <rFont val="Symbol"/>
        <family val="1"/>
        <charset val="2"/>
      </rPr>
      <t>a</t>
    </r>
    <r>
      <rPr>
        <sz val="12"/>
        <color indexed="8"/>
        <rFont val="Aptos"/>
        <family val="2"/>
      </rPr>
      <t>-MgSO</t>
    </r>
    <r>
      <rPr>
        <vertAlign val="subscript"/>
        <sz val="12"/>
        <color indexed="8"/>
        <rFont val="Aptos"/>
        <family val="2"/>
      </rPr>
      <t>4</t>
    </r>
  </si>
  <si>
    <t>Lemire et al. 2019, TDB volume Fe-II</t>
  </si>
  <si>
    <r>
      <t>H</t>
    </r>
    <r>
      <rPr>
        <vertAlign val="subscript"/>
        <sz val="12"/>
        <color indexed="8"/>
        <rFont val="Aptos"/>
        <family val="2"/>
      </rPr>
      <t>2</t>
    </r>
    <r>
      <rPr>
        <sz val="12"/>
        <color indexed="8"/>
        <rFont val="Aptos"/>
        <family val="2"/>
      </rPr>
      <t>O</t>
    </r>
  </si>
  <si>
    <t>enthalpy of water desorption from lepidocrocite</t>
  </si>
  <si>
    <r>
      <t>KAl(SO</t>
    </r>
    <r>
      <rPr>
        <vertAlign val="subscript"/>
        <sz val="12"/>
        <rFont val="Aptos"/>
      </rPr>
      <t>4</t>
    </r>
    <r>
      <rPr>
        <sz val="12"/>
        <rFont val="Aptos"/>
        <family val="2"/>
      </rPr>
      <t>)</t>
    </r>
    <r>
      <rPr>
        <vertAlign val="subscript"/>
        <sz val="12"/>
        <rFont val="Aptos"/>
      </rPr>
      <t>2</t>
    </r>
    <r>
      <rPr>
        <sz val="12"/>
        <rFont val="Aptos"/>
        <family val="2"/>
      </rPr>
      <t>·12H</t>
    </r>
    <r>
      <rPr>
        <vertAlign val="subscript"/>
        <sz val="12"/>
        <rFont val="Aptos"/>
      </rPr>
      <t>2</t>
    </r>
    <r>
      <rPr>
        <sz val="12"/>
        <rFont val="Aptos"/>
        <family val="2"/>
      </rPr>
      <t>O</t>
    </r>
  </si>
  <si>
    <r>
      <t>K</t>
    </r>
    <r>
      <rPr>
        <vertAlign val="subscript"/>
        <sz val="12"/>
        <rFont val="Aptos"/>
      </rPr>
      <t>2</t>
    </r>
    <r>
      <rPr>
        <sz val="12"/>
        <rFont val="Aptos"/>
        <family val="2"/>
      </rPr>
      <t>SO</t>
    </r>
    <r>
      <rPr>
        <vertAlign val="subscript"/>
        <sz val="12"/>
        <rFont val="Aptos"/>
      </rPr>
      <t>4</t>
    </r>
  </si>
  <si>
    <r>
      <t>Fe</t>
    </r>
    <r>
      <rPr>
        <vertAlign val="superscript"/>
        <sz val="11"/>
        <color theme="1"/>
        <rFont val="Aptos Narrow"/>
        <scheme val="minor"/>
      </rPr>
      <t>2+</t>
    </r>
    <r>
      <rPr>
        <sz val="11"/>
        <color theme="1"/>
        <rFont val="Aptos Narrow"/>
        <family val="2"/>
        <scheme val="minor"/>
      </rPr>
      <t>Fe</t>
    </r>
    <r>
      <rPr>
        <vertAlign val="superscript"/>
        <sz val="11"/>
        <color theme="1"/>
        <rFont val="Aptos Narrow"/>
        <family val="2"/>
        <scheme val="minor"/>
      </rPr>
      <t>3+</t>
    </r>
    <r>
      <rPr>
        <vertAlign val="subscript"/>
        <sz val="11"/>
        <color theme="1"/>
        <rFont val="Aptos Narrow"/>
        <family val="2"/>
        <scheme val="minor"/>
      </rPr>
      <t>4</t>
    </r>
    <r>
      <rPr>
        <sz val="11"/>
        <color theme="1"/>
        <rFont val="Aptos Narrow"/>
        <family val="2"/>
        <scheme val="minor"/>
      </rPr>
      <t>(SO</t>
    </r>
    <r>
      <rPr>
        <vertAlign val="subscript"/>
        <sz val="11"/>
        <color theme="1"/>
        <rFont val="Aptos Narrow"/>
        <family val="2"/>
        <scheme val="minor"/>
      </rPr>
      <t>4</t>
    </r>
    <r>
      <rPr>
        <sz val="11"/>
        <color theme="1"/>
        <rFont val="Aptos Narrow"/>
        <family val="2"/>
        <scheme val="minor"/>
      </rPr>
      <t>)</t>
    </r>
    <r>
      <rPr>
        <vertAlign val="subscript"/>
        <sz val="11"/>
        <color theme="1"/>
        <rFont val="Aptos Narrow"/>
        <family val="2"/>
        <scheme val="minor"/>
      </rPr>
      <t>6</t>
    </r>
    <r>
      <rPr>
        <sz val="11"/>
        <color theme="1"/>
        <rFont val="Aptos Narrow"/>
        <family val="2"/>
        <scheme val="minor"/>
      </rPr>
      <t>(OH)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 xml:space="preserve"> · 20H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O</t>
    </r>
  </si>
  <si>
    <r>
      <t>FeSO</t>
    </r>
    <r>
      <rPr>
        <vertAlign val="subscript"/>
        <sz val="12"/>
        <rFont val="Aptos"/>
      </rPr>
      <t>4</t>
    </r>
    <r>
      <rPr>
        <sz val="12"/>
        <rFont val="Aptos"/>
        <family val="2"/>
      </rPr>
      <t>·7H</t>
    </r>
    <r>
      <rPr>
        <vertAlign val="subscript"/>
        <sz val="12"/>
        <rFont val="Aptos"/>
      </rPr>
      <t>2</t>
    </r>
    <r>
      <rPr>
        <sz val="12"/>
        <rFont val="Aptos"/>
        <family val="2"/>
      </rPr>
      <t>O</t>
    </r>
  </si>
  <si>
    <t>FeSO4.7H2O</t>
  </si>
  <si>
    <t>MgSO4</t>
  </si>
  <si>
    <t>H2O</t>
  </si>
  <si>
    <t>Fe</t>
  </si>
  <si>
    <t>Mg</t>
  </si>
  <si>
    <t>S</t>
  </si>
  <si>
    <t>O</t>
  </si>
  <si>
    <t>H</t>
  </si>
  <si>
    <t>4FeOOH + FeSO4.7H2O + 5MgSO4 + 12H2O = FeFe4(SO4)6(OH)2·20H2O + 5MgO</t>
  </si>
  <si>
    <t>check the reaction</t>
  </si>
  <si>
    <t>DrH = 4DH3 + DH19 + 5DH4 + 12DH5 - DH12 - 5DH1</t>
  </si>
  <si>
    <t>5Fe + 6S + 23O2 + 21H2 = FeFe4(SO4)6(OH)2·20H2O</t>
  </si>
  <si>
    <t>O2</t>
  </si>
  <si>
    <t>H2</t>
  </si>
  <si>
    <t>Lemire et al. 2013</t>
  </si>
  <si>
    <t>DfH = 4DH3 + DH19 + 5DH4 + 12DH5 - DH12 - 5DH1 + 4DH14 + DH20 + 5DH15 + 12DH16 - 5DH13</t>
  </si>
  <si>
    <r>
      <t>S</t>
    </r>
    <r>
      <rPr>
        <vertAlign val="superscript"/>
        <sz val="11"/>
        <color theme="1"/>
        <rFont val="Aptos Narrow"/>
        <scheme val="minor"/>
      </rPr>
      <t>o</t>
    </r>
    <r>
      <rPr>
        <sz val="11"/>
        <color theme="1"/>
        <rFont val="Aptos Narrow"/>
        <family val="2"/>
        <scheme val="minor"/>
      </rPr>
      <t xml:space="preserve"> (J K-1 mol-1)</t>
    </r>
  </si>
  <si>
    <t>RH95</t>
  </si>
  <si>
    <t>Al</t>
  </si>
  <si>
    <t>enthalpy of formation</t>
  </si>
  <si>
    <t>standard entropy</t>
  </si>
  <si>
    <t>entropy of formation</t>
  </si>
  <si>
    <r>
      <t>O</t>
    </r>
    <r>
      <rPr>
        <vertAlign val="subscript"/>
        <sz val="11"/>
        <color theme="1"/>
        <rFont val="Aptos Narrow"/>
        <scheme val="minor"/>
      </rPr>
      <t>2</t>
    </r>
  </si>
  <si>
    <t>Gibbs free energy of formation</t>
  </si>
  <si>
    <r>
      <t>H</t>
    </r>
    <r>
      <rPr>
        <vertAlign val="subscript"/>
        <sz val="11"/>
        <color theme="1"/>
        <rFont val="Aptos Narrow"/>
        <scheme val="minor"/>
      </rPr>
      <t>2</t>
    </r>
  </si>
  <si>
    <r>
      <rPr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Aptos Narrow"/>
        <scheme val="minor"/>
      </rPr>
      <t>f</t>
    </r>
    <r>
      <rPr>
        <sz val="11"/>
        <color theme="1"/>
        <rFont val="Aptos Narrow"/>
        <family val="2"/>
        <scheme val="minor"/>
      </rPr>
      <t>G</t>
    </r>
    <r>
      <rPr>
        <vertAlign val="superscript"/>
        <sz val="11"/>
        <color theme="1"/>
        <rFont val="Aptos Narrow"/>
        <scheme val="minor"/>
      </rPr>
      <t>o</t>
    </r>
    <r>
      <rPr>
        <sz val="11"/>
        <color theme="1"/>
        <rFont val="Aptos Narrow"/>
        <family val="2"/>
        <scheme val="minor"/>
      </rPr>
      <t xml:space="preserve"> (kJ mol</t>
    </r>
    <r>
      <rPr>
        <vertAlign val="superscript"/>
        <sz val="11"/>
        <color theme="1"/>
        <rFont val="Aptos Narrow"/>
        <scheme val="minor"/>
      </rPr>
      <t>-1</t>
    </r>
    <r>
      <rPr>
        <sz val="11"/>
        <color theme="1"/>
        <rFont val="Aptos Narrow"/>
        <family val="2"/>
        <scheme val="minor"/>
      </rPr>
      <t>)</t>
    </r>
  </si>
  <si>
    <r>
      <rPr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Aptos Narrow"/>
        <scheme val="minor"/>
      </rPr>
      <t>f</t>
    </r>
    <r>
      <rPr>
        <sz val="11"/>
        <color theme="1"/>
        <rFont val="Aptos Narrow"/>
        <family val="2"/>
        <scheme val="minor"/>
      </rPr>
      <t>H</t>
    </r>
    <r>
      <rPr>
        <vertAlign val="superscript"/>
        <sz val="11"/>
        <color theme="1"/>
        <rFont val="Aptos Narrow"/>
        <scheme val="minor"/>
      </rPr>
      <t>o</t>
    </r>
    <r>
      <rPr>
        <sz val="11"/>
        <color theme="1"/>
        <rFont val="Aptos Narrow"/>
        <family val="2"/>
        <scheme val="minor"/>
      </rPr>
      <t xml:space="preserve"> (kJ mol</t>
    </r>
    <r>
      <rPr>
        <vertAlign val="superscript"/>
        <sz val="11"/>
        <color theme="1"/>
        <rFont val="Aptos Narrow"/>
        <scheme val="minor"/>
      </rPr>
      <t>-1</t>
    </r>
    <r>
      <rPr>
        <sz val="11"/>
        <color theme="1"/>
        <rFont val="Aptos Narrow"/>
        <family val="2"/>
        <scheme val="minor"/>
      </rPr>
      <t>)</t>
    </r>
  </si>
  <si>
    <r>
      <rPr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Aptos Narrow"/>
        <scheme val="minor"/>
      </rPr>
      <t>r</t>
    </r>
    <r>
      <rPr>
        <sz val="11"/>
        <color theme="1"/>
        <rFont val="Aptos Narrow"/>
        <family val="2"/>
        <scheme val="minor"/>
      </rPr>
      <t>G</t>
    </r>
    <r>
      <rPr>
        <vertAlign val="superscript"/>
        <sz val="11"/>
        <color theme="1"/>
        <rFont val="Aptos Narrow"/>
        <scheme val="minor"/>
      </rPr>
      <t>o</t>
    </r>
  </si>
  <si>
    <r>
      <t>Fe</t>
    </r>
    <r>
      <rPr>
        <vertAlign val="superscript"/>
        <sz val="11"/>
        <color theme="1"/>
        <rFont val="Aptos Narrow"/>
        <family val="2"/>
        <scheme val="minor"/>
      </rPr>
      <t>3+</t>
    </r>
  </si>
  <si>
    <t>ln K</t>
  </si>
  <si>
    <r>
      <t>Fe</t>
    </r>
    <r>
      <rPr>
        <vertAlign val="superscript"/>
        <sz val="11"/>
        <color theme="1"/>
        <rFont val="Aptos Narrow"/>
        <family val="2"/>
        <scheme val="minor"/>
      </rPr>
      <t>2+</t>
    </r>
  </si>
  <si>
    <t>log K</t>
  </si>
  <si>
    <r>
      <t>SO</t>
    </r>
    <r>
      <rPr>
        <vertAlign val="subscript"/>
        <sz val="11"/>
        <color theme="1"/>
        <rFont val="Aptos Narrow"/>
        <scheme val="minor"/>
      </rPr>
      <t>4</t>
    </r>
    <r>
      <rPr>
        <vertAlign val="superscript"/>
        <sz val="11"/>
        <color theme="1"/>
        <rFont val="Aptos Narrow"/>
        <scheme val="minor"/>
      </rPr>
      <t>2-</t>
    </r>
  </si>
  <si>
    <r>
      <rPr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Aptos Narrow"/>
        <scheme val="minor"/>
      </rPr>
      <t>r</t>
    </r>
    <r>
      <rPr>
        <sz val="11"/>
        <color theme="1"/>
        <rFont val="Aptos Narrow"/>
        <family val="2"/>
        <scheme val="minor"/>
      </rPr>
      <t>H</t>
    </r>
    <r>
      <rPr>
        <vertAlign val="superscript"/>
        <sz val="11"/>
        <color theme="1"/>
        <rFont val="Aptos Narrow"/>
        <scheme val="minor"/>
      </rPr>
      <t>o</t>
    </r>
  </si>
  <si>
    <r>
      <t>H</t>
    </r>
    <r>
      <rPr>
        <vertAlign val="subscript"/>
        <sz val="11"/>
        <color theme="1"/>
        <rFont val="Aptos Narrow"/>
        <scheme val="minor"/>
      </rPr>
      <t>2</t>
    </r>
    <r>
      <rPr>
        <sz val="11"/>
        <color theme="1"/>
        <rFont val="Aptos Narrow"/>
        <family val="2"/>
        <scheme val="minor"/>
      </rPr>
      <t>O</t>
    </r>
  </si>
  <si>
    <r>
      <t>Mg</t>
    </r>
    <r>
      <rPr>
        <vertAlign val="superscript"/>
        <sz val="11"/>
        <color theme="1"/>
        <rFont val="Aptos Narrow"/>
        <family val="2"/>
        <scheme val="minor"/>
      </rPr>
      <t>2+</t>
    </r>
  </si>
  <si>
    <r>
      <t>Al</t>
    </r>
    <r>
      <rPr>
        <vertAlign val="superscript"/>
        <sz val="11"/>
        <color theme="1"/>
        <rFont val="Aptos Narrow"/>
        <family val="2"/>
        <scheme val="minor"/>
      </rPr>
      <t>3+</t>
    </r>
  </si>
  <si>
    <t>FeFe4(SO4)6(OH)2·20H2O + 2H+ = Fe++ + 4Fe+++ + 6SO4-- + 22H2O</t>
  </si>
  <si>
    <t>estimate, Ogorodova et al. (2021)</t>
  </si>
  <si>
    <t>+-59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</si>
</sst>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/yy"/>
    <numFmt numFmtId="165" formatCode="0.00000"/>
    <numFmt numFmtId="166" formatCode="0.0000"/>
    <numFmt numFmtId="167" formatCode="0.00000000"/>
    <numFmt numFmtId="168" formatCode="0.000"/>
    <numFmt numFmtId="169" formatCode="0.0"/>
  </numFmts>
  <fonts count="18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indexed="12"/>
      <name val="Arial"/>
      <family val="2"/>
    </font>
    <font>
      <sz val="12"/>
      <name val="Aptos"/>
      <family val="2"/>
    </font>
    <font>
      <sz val="12"/>
      <color theme="1"/>
      <name val="Aptos"/>
      <family val="2"/>
    </font>
    <font>
      <vertAlign val="subscript"/>
      <sz val="12"/>
      <name val="Aptos"/>
      <family val="2"/>
    </font>
    <font>
      <sz val="12"/>
      <color indexed="8"/>
      <name val="Aptos"/>
      <family val="1"/>
      <charset val="2"/>
    </font>
    <font>
      <sz val="12"/>
      <color rgb="FF000000"/>
      <name val="Symbol"/>
      <family val="1"/>
      <charset val="2"/>
    </font>
    <font>
      <sz val="12"/>
      <color indexed="8"/>
      <name val="Aptos"/>
      <family val="2"/>
    </font>
    <font>
      <vertAlign val="subscript"/>
      <sz val="12"/>
      <color indexed="8"/>
      <name val="Aptos"/>
      <family val="2"/>
    </font>
    <font>
      <sz val="11"/>
      <name val="Aptos Narrow"/>
      <family val="2"/>
      <scheme val="minor"/>
    </font>
    <font>
      <vertAlign val="subscript"/>
      <sz val="12"/>
      <name val="Aptos"/>
    </font>
    <font>
      <vertAlign val="superscript"/>
      <sz val="11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vertAlign val="superscript"/>
      <sz val="11"/>
      <color theme="1"/>
      <name val="Aptos Narrow"/>
      <scheme val="minor"/>
    </font>
    <font>
      <vertAlign val="subscript"/>
      <sz val="11"/>
      <color theme="1"/>
      <name val="Aptos Narrow"/>
      <scheme val="minor"/>
    </font>
    <font>
      <sz val="11"/>
      <color theme="1"/>
      <name val="Aptos Narrow"/>
      <family val="1"/>
      <charset val="2"/>
      <scheme val="minor"/>
    </font>
    <font>
      <sz val="11"/>
      <color theme="1"/>
      <name val="Symbol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indexed="11"/>
        <bgColor indexed="15"/>
      </patternFill>
    </fill>
    <fill>
      <patternFill patternType="solid">
        <fgColor indexed="13"/>
        <bgColor indexed="34"/>
      </patternFill>
    </fill>
    <fill>
      <patternFill patternType="solid">
        <fgColor indexed="52"/>
        <bgColor indexed="51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2" borderId="0" xfId="1" applyFont="1" applyFill="1"/>
    <xf numFmtId="164" fontId="0" fillId="0" borderId="0" xfId="0" applyNumberFormat="1"/>
    <xf numFmtId="0" fontId="0" fillId="3" borderId="0" xfId="1" applyFont="1" applyFill="1"/>
    <xf numFmtId="0" fontId="0" fillId="0" borderId="0" xfId="1" applyFont="1"/>
    <xf numFmtId="0" fontId="0" fillId="4" borderId="0" xfId="0" applyFill="1"/>
    <xf numFmtId="0" fontId="0" fillId="0" borderId="0" xfId="0" applyAlignment="1">
      <alignment wrapText="1"/>
    </xf>
    <xf numFmtId="166" fontId="0" fillId="0" borderId="0" xfId="0" applyNumberFormat="1"/>
    <xf numFmtId="0" fontId="2" fillId="0" borderId="0" xfId="1" applyFont="1"/>
    <xf numFmtId="167" fontId="2" fillId="0" borderId="0" xfId="1" applyNumberFormat="1" applyFont="1"/>
    <xf numFmtId="168" fontId="2" fillId="0" borderId="0" xfId="1" applyNumberFormat="1" applyFont="1" applyAlignment="1">
      <alignment horizontal="right"/>
    </xf>
    <xf numFmtId="165" fontId="2" fillId="0" borderId="0" xfId="1" applyNumberFormat="1" applyFont="1"/>
    <xf numFmtId="0" fontId="0" fillId="3" borderId="0" xfId="0" applyFill="1"/>
    <xf numFmtId="166" fontId="2" fillId="0" borderId="0" xfId="1" applyNumberFormat="1" applyFont="1"/>
    <xf numFmtId="166" fontId="2" fillId="4" borderId="0" xfId="1" applyNumberFormat="1" applyFont="1" applyFill="1"/>
    <xf numFmtId="165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2" fontId="3" fillId="0" borderId="0" xfId="0" applyNumberFormat="1" applyFont="1"/>
    <xf numFmtId="0" fontId="4" fillId="0" borderId="0" xfId="0" applyFont="1"/>
    <xf numFmtId="1" fontId="3" fillId="0" borderId="0" xfId="0" applyNumberFormat="1" applyFont="1"/>
    <xf numFmtId="0" fontId="6" fillId="0" borderId="0" xfId="0" applyFont="1"/>
    <xf numFmtId="2" fontId="10" fillId="0" borderId="0" xfId="0" applyNumberFormat="1" applyFont="1"/>
    <xf numFmtId="169" fontId="3" fillId="0" borderId="0" xfId="0" applyNumberFormat="1" applyFont="1"/>
    <xf numFmtId="0" fontId="0" fillId="5" borderId="0" xfId="0" applyFill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1" fillId="0" borderId="0" xfId="0" applyFont="1"/>
    <xf numFmtId="0" fontId="0" fillId="6" borderId="0" xfId="0" applyFill="1"/>
    <xf numFmtId="0" fontId="16" fillId="0" borderId="0" xfId="0" applyFont="1"/>
    <xf numFmtId="169" fontId="0" fillId="0" borderId="0" xfId="0" applyNumberFormat="1"/>
    <xf numFmtId="0" fontId="10" fillId="0" borderId="0" xfId="0" applyFont="1" applyAlignment="1">
      <alignment horizontal="right" vertical="center"/>
    </xf>
    <xf numFmtId="0" fontId="10" fillId="0" borderId="0" xfId="0" applyFont="1"/>
    <xf numFmtId="0" fontId="0" fillId="0" borderId="0" xfId="0" quotePrefix="1" applyAlignment="1">
      <alignment horizontal="right"/>
    </xf>
    <xf numFmtId="2" fontId="0" fillId="0" borderId="0" xfId="0" applyNumberFormat="1" applyAlignment="1">
      <alignment horizontal="center"/>
    </xf>
    <xf numFmtId="0" fontId="0" fillId="0" borderId="0" xfId="0" applyFill="1"/>
  </cellXfs>
  <cellStyles count="2">
    <cellStyle name="Normal" xfId="0" builtinId="0"/>
    <cellStyle name="Standard_Kalorimetrie" xfId="1" xr:uid="{F277342E-E0E1-4ECD-A0EC-B237AFD2B5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21E21-044C-4FBE-B23E-84A144099B9B}">
  <dimension ref="A1:F33"/>
  <sheetViews>
    <sheetView workbookViewId="0"/>
  </sheetViews>
  <sheetFormatPr defaultRowHeight="14.25"/>
  <cols>
    <col min="1" max="1" width="16.5" customWidth="1"/>
    <col min="2" max="6" width="13.875" customWidth="1"/>
  </cols>
  <sheetData>
    <row r="1" spans="1:6">
      <c r="A1" s="1" t="s">
        <v>0</v>
      </c>
      <c r="B1" s="2">
        <v>42678</v>
      </c>
      <c r="C1" s="2">
        <v>42682</v>
      </c>
      <c r="D1" s="2">
        <v>42682</v>
      </c>
      <c r="E1" s="2">
        <v>42682</v>
      </c>
      <c r="F1" s="2">
        <v>42683</v>
      </c>
    </row>
    <row r="2" spans="1:6">
      <c r="A2" s="3" t="s">
        <v>1</v>
      </c>
      <c r="B2" t="s">
        <v>5</v>
      </c>
      <c r="C2" s="5" t="s">
        <v>5</v>
      </c>
      <c r="D2" t="s">
        <v>5</v>
      </c>
      <c r="E2" s="5" t="s">
        <v>5</v>
      </c>
      <c r="F2" t="s">
        <v>5</v>
      </c>
    </row>
    <row r="3" spans="1:6">
      <c r="A3" s="3" t="s">
        <v>6</v>
      </c>
      <c r="B3">
        <v>6.75</v>
      </c>
      <c r="C3">
        <v>9.7379999999999995</v>
      </c>
      <c r="D3">
        <v>11.144</v>
      </c>
      <c r="E3">
        <v>10.28</v>
      </c>
      <c r="F3" s="6">
        <v>8.6639999999999997</v>
      </c>
    </row>
    <row r="4" spans="1:6">
      <c r="A4" s="3" t="s">
        <v>7</v>
      </c>
      <c r="B4">
        <v>24.7</v>
      </c>
      <c r="C4">
        <v>24.7</v>
      </c>
      <c r="D4">
        <v>24.7</v>
      </c>
      <c r="E4">
        <v>24.7</v>
      </c>
      <c r="F4">
        <v>24.7</v>
      </c>
    </row>
    <row r="5" spans="1:6">
      <c r="A5" s="3" t="s">
        <v>8</v>
      </c>
      <c r="B5">
        <v>25</v>
      </c>
      <c r="C5">
        <v>25</v>
      </c>
      <c r="D5">
        <v>25</v>
      </c>
      <c r="E5">
        <v>25</v>
      </c>
      <c r="F5">
        <v>25</v>
      </c>
    </row>
    <row r="6" spans="1:6">
      <c r="A6" s="3" t="s">
        <v>9</v>
      </c>
      <c r="B6" s="7">
        <v>1249.9208799999999</v>
      </c>
      <c r="C6" s="7">
        <f>$B$6</f>
        <v>1249.9208799999999</v>
      </c>
      <c r="D6" s="7">
        <f>$B$6</f>
        <v>1249.9208799999999</v>
      </c>
      <c r="E6" s="7">
        <f>$B$6</f>
        <v>1249.9208799999999</v>
      </c>
      <c r="F6" s="7">
        <f>$B$6</f>
        <v>1249.9208799999999</v>
      </c>
    </row>
    <row r="7" spans="1:6">
      <c r="A7" s="8" t="s">
        <v>10</v>
      </c>
      <c r="B7" s="9">
        <v>5.4003418200358416E-6</v>
      </c>
      <c r="C7" s="9">
        <v>7.790893132371708E-6</v>
      </c>
      <c r="D7" s="9">
        <v>8.9157643322191732E-6</v>
      </c>
      <c r="E7" s="9">
        <v>8.2245205792545842E-6</v>
      </c>
      <c r="F7" s="9">
        <v>6.9316387450060047E-6</v>
      </c>
    </row>
    <row r="8" spans="1:6">
      <c r="A8" s="8" t="s">
        <v>11</v>
      </c>
      <c r="B8" s="10">
        <v>-512.60925058381667</v>
      </c>
      <c r="C8" s="10">
        <v>-512.60925058381667</v>
      </c>
      <c r="D8" s="10">
        <v>-512.60925058381667</v>
      </c>
      <c r="E8" s="10">
        <v>-512.60925058381667</v>
      </c>
      <c r="F8" s="10">
        <v>-512.60925058381667</v>
      </c>
    </row>
    <row r="9" spans="1:6">
      <c r="A9" s="8" t="s">
        <v>12</v>
      </c>
      <c r="B9" s="10">
        <v>-512.58555601064586</v>
      </c>
      <c r="C9" s="10">
        <v>-512.58555601064586</v>
      </c>
      <c r="D9" s="10">
        <v>-512.58555601064586</v>
      </c>
      <c r="E9" s="10">
        <v>-512.58555601064586</v>
      </c>
      <c r="F9" s="10">
        <v>-512.58555601064586</v>
      </c>
    </row>
    <row r="10" spans="1:6">
      <c r="A10" s="8" t="s">
        <v>13</v>
      </c>
      <c r="B10" s="11">
        <v>1.2795879440224983E-4</v>
      </c>
      <c r="C10" s="11">
        <v>1.8460188739097912E-4</v>
      </c>
      <c r="D10" s="11">
        <v>2.11255230343507E-4</v>
      </c>
      <c r="E10" s="11">
        <v>1.9487650466001898E-4</v>
      </c>
      <c r="F10" s="11">
        <v>1.6424222143719889E-4</v>
      </c>
    </row>
    <row r="11" spans="1:6">
      <c r="A11" s="3" t="s">
        <v>14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>
      <c r="A12" s="3" t="s">
        <v>15</v>
      </c>
      <c r="B12">
        <v>30</v>
      </c>
      <c r="C12">
        <v>30</v>
      </c>
      <c r="D12">
        <v>30</v>
      </c>
      <c r="E12">
        <v>30</v>
      </c>
      <c r="F12">
        <v>30</v>
      </c>
    </row>
    <row r="13" spans="1:6">
      <c r="A13" s="3" t="s">
        <v>16</v>
      </c>
      <c r="B13">
        <v>80</v>
      </c>
      <c r="C13">
        <v>80</v>
      </c>
      <c r="D13">
        <v>88</v>
      </c>
      <c r="E13">
        <v>81</v>
      </c>
      <c r="F13">
        <v>78</v>
      </c>
    </row>
    <row r="14" spans="1:6">
      <c r="A14" s="8" t="s">
        <v>17</v>
      </c>
      <c r="B14" s="8">
        <v>50</v>
      </c>
      <c r="C14" s="8">
        <v>50</v>
      </c>
      <c r="D14" s="8">
        <v>58</v>
      </c>
      <c r="E14" s="8">
        <v>51</v>
      </c>
      <c r="F14" s="8">
        <v>48</v>
      </c>
    </row>
    <row r="15" spans="1:6">
      <c r="A15" s="3" t="s">
        <v>18</v>
      </c>
      <c r="B15">
        <v>110</v>
      </c>
      <c r="C15">
        <v>110</v>
      </c>
      <c r="D15">
        <v>118</v>
      </c>
      <c r="E15">
        <v>111</v>
      </c>
      <c r="F15">
        <v>108</v>
      </c>
    </row>
    <row r="16" spans="1:6">
      <c r="A16" s="8" t="s">
        <v>19</v>
      </c>
      <c r="B16" s="8">
        <v>30</v>
      </c>
      <c r="C16" s="8">
        <v>30</v>
      </c>
      <c r="D16" s="8">
        <v>30</v>
      </c>
      <c r="E16" s="8">
        <v>30</v>
      </c>
      <c r="F16" s="8">
        <v>30</v>
      </c>
    </row>
    <row r="17" spans="1:6">
      <c r="A17" s="3" t="s">
        <v>20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>
      <c r="A18" s="3" t="s">
        <v>21</v>
      </c>
      <c r="B18">
        <v>1.3476979166700001</v>
      </c>
      <c r="C18" s="12">
        <v>1.1371562500000001</v>
      </c>
      <c r="D18" s="12">
        <v>0.34427083333399999</v>
      </c>
      <c r="E18" s="12">
        <v>0.34348958333099999</v>
      </c>
      <c r="F18" s="12">
        <v>1.5910520833299999</v>
      </c>
    </row>
    <row r="19" spans="1:6">
      <c r="A19" s="3" t="s">
        <v>22</v>
      </c>
      <c r="B19">
        <v>363.24928125000002</v>
      </c>
      <c r="C19" s="12">
        <v>524.10092708299999</v>
      </c>
      <c r="D19" s="12">
        <v>602.24289166699998</v>
      </c>
      <c r="E19" s="5">
        <v>540.10550416700005</v>
      </c>
      <c r="F19" s="12">
        <v>448.830297917</v>
      </c>
    </row>
    <row r="20" spans="1:6">
      <c r="A20" s="3" t="s">
        <v>23</v>
      </c>
      <c r="B20">
        <v>368.11810416700001</v>
      </c>
      <c r="C20" s="12">
        <v>523.467666667</v>
      </c>
      <c r="D20" s="12">
        <v>609.90453749999995</v>
      </c>
      <c r="E20" s="5">
        <v>533.64077499999996</v>
      </c>
      <c r="F20" s="12">
        <v>442.77207916700002</v>
      </c>
    </row>
    <row r="21" spans="1:6">
      <c r="A21" s="8" t="s">
        <v>24</v>
      </c>
      <c r="B21" s="13">
        <v>0.10360868056116648</v>
      </c>
      <c r="C21" s="13">
        <v>8.3982639000002579E-3</v>
      </c>
      <c r="D21" s="13">
        <v>0.13343194443889944</v>
      </c>
      <c r="E21" s="13">
        <v>-0.10202065972781811</v>
      </c>
      <c r="F21" s="13">
        <v>-7.4452777777833004E-2</v>
      </c>
    </row>
    <row r="22" spans="1:6">
      <c r="A22" s="8" t="s">
        <v>25</v>
      </c>
      <c r="B22" s="13">
        <v>6.5281319447283241</v>
      </c>
      <c r="C22" s="13">
        <v>1.5570694450000131</v>
      </c>
      <c r="D22" s="13">
        <v>8.0833236107901687</v>
      </c>
      <c r="E22" s="13">
        <v>-4.8595640627877232</v>
      </c>
      <c r="F22" s="13">
        <v>-1.9826812500059845</v>
      </c>
    </row>
    <row r="23" spans="1:6">
      <c r="A23" s="8" t="s">
        <v>26</v>
      </c>
      <c r="B23" s="13">
        <v>1.8300378201410581</v>
      </c>
      <c r="C23" s="13">
        <v>0.29797870977534219</v>
      </c>
      <c r="D23" s="13">
        <v>1.3604634252099523</v>
      </c>
      <c r="E23" s="13">
        <v>-0.89172028559060945</v>
      </c>
      <c r="F23" s="13">
        <v>-0.43980127938408131</v>
      </c>
    </row>
    <row r="24" spans="1:6">
      <c r="A24" s="8" t="s">
        <v>27</v>
      </c>
      <c r="B24" s="13">
        <v>356.72114930527169</v>
      </c>
      <c r="C24" s="13">
        <v>522.54385763799996</v>
      </c>
      <c r="D24" s="13">
        <v>594.15956805620976</v>
      </c>
      <c r="E24" s="13">
        <v>544.96506822978779</v>
      </c>
      <c r="F24" s="13">
        <v>450.81297916700601</v>
      </c>
    </row>
    <row r="25" spans="1:6">
      <c r="A25" s="4"/>
    </row>
    <row r="26" spans="1:6">
      <c r="A26" s="4" t="s">
        <v>28</v>
      </c>
      <c r="B26" s="15" t="e">
        <f>#REF!</f>
        <v>#REF!</v>
      </c>
      <c r="C26" s="15" t="e">
        <f>#REF!</f>
        <v>#REF!</v>
      </c>
      <c r="D26" s="15" t="e">
        <f>#REF!</f>
        <v>#REF!</v>
      </c>
      <c r="E26" s="15" t="e">
        <f>#REF!</f>
        <v>#REF!</v>
      </c>
      <c r="F26" s="15" t="e">
        <f>#REF!</f>
        <v>#REF!</v>
      </c>
    </row>
    <row r="27" spans="1:6">
      <c r="A27" s="8" t="s">
        <v>29</v>
      </c>
      <c r="B27" s="13">
        <v>0.4503706203543667</v>
      </c>
      <c r="C27" s="13">
        <v>0.65972651687493322</v>
      </c>
      <c r="D27" s="13">
        <v>0.75014339288854504</v>
      </c>
      <c r="E27" s="13">
        <v>0.68803393442779026</v>
      </c>
      <c r="F27" s="13">
        <v>0.56916423791148685</v>
      </c>
    </row>
    <row r="28" spans="1:6">
      <c r="A28" s="13" t="s">
        <v>30</v>
      </c>
      <c r="B28" s="13">
        <v>6.6721573385832109E-2</v>
      </c>
      <c r="C28" s="13">
        <v>6.7747639851605382E-2</v>
      </c>
      <c r="D28" s="13">
        <v>6.7313656935440155E-2</v>
      </c>
      <c r="E28" s="13">
        <v>6.6929371053287001E-2</v>
      </c>
      <c r="F28" s="13">
        <v>6.5693009915914924E-2</v>
      </c>
    </row>
    <row r="29" spans="1:6">
      <c r="A29" s="13" t="s">
        <v>31</v>
      </c>
      <c r="B29" s="13">
        <v>83.396687721403836</v>
      </c>
      <c r="C29" s="13">
        <v>84.679189621241662</v>
      </c>
      <c r="D29" s="13">
        <v>84.136745312763452</v>
      </c>
      <c r="E29" s="13">
        <v>83.656418364771014</v>
      </c>
      <c r="F29" s="13">
        <v>82.111064763949102</v>
      </c>
    </row>
    <row r="31" spans="1:6">
      <c r="B31" s="7">
        <f>AVERAGE(B29:F29)</f>
        <v>83.596021156825813</v>
      </c>
    </row>
    <row r="32" spans="1:6">
      <c r="B32">
        <f>2*STDEV(B29:F29)/SQRT(B33)</f>
        <v>0.86187164532424143</v>
      </c>
    </row>
    <row r="33" spans="2:2">
      <c r="B33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84C9A-B382-4123-823F-C0457CD8BEB2}">
  <dimension ref="A1:M33"/>
  <sheetViews>
    <sheetView workbookViewId="0"/>
  </sheetViews>
  <sheetFormatPr defaultRowHeight="14.25"/>
  <cols>
    <col min="1" max="1" width="14.875" customWidth="1"/>
    <col min="2" max="13" width="11.125" customWidth="1"/>
  </cols>
  <sheetData>
    <row r="1" spans="1:13">
      <c r="A1" s="1" t="s">
        <v>0</v>
      </c>
      <c r="B1" s="2">
        <v>42668</v>
      </c>
      <c r="C1" s="2">
        <v>42668</v>
      </c>
      <c r="D1" s="2">
        <v>42668</v>
      </c>
      <c r="E1" s="2">
        <v>42669</v>
      </c>
      <c r="F1" s="2">
        <v>42669</v>
      </c>
      <c r="G1" s="2">
        <v>42669</v>
      </c>
      <c r="H1" s="2">
        <v>42670</v>
      </c>
      <c r="I1" s="2">
        <v>42670</v>
      </c>
      <c r="J1" s="2">
        <v>42670</v>
      </c>
      <c r="K1" s="2">
        <v>42670</v>
      </c>
      <c r="L1" s="2">
        <v>42670</v>
      </c>
      <c r="M1" s="2">
        <v>42670</v>
      </c>
    </row>
    <row r="2" spans="1:13">
      <c r="A2" s="3" t="s">
        <v>1</v>
      </c>
      <c r="B2" t="s">
        <v>2</v>
      </c>
      <c r="C2" t="s">
        <v>3</v>
      </c>
      <c r="D2" t="s">
        <v>4</v>
      </c>
      <c r="E2" t="s">
        <v>2</v>
      </c>
      <c r="F2" t="s">
        <v>3</v>
      </c>
      <c r="G2" t="s">
        <v>4</v>
      </c>
      <c r="H2" t="s">
        <v>2</v>
      </c>
      <c r="I2" t="s">
        <v>3</v>
      </c>
      <c r="J2" t="s">
        <v>4</v>
      </c>
      <c r="K2" t="s">
        <v>2</v>
      </c>
      <c r="L2" t="s">
        <v>3</v>
      </c>
      <c r="M2" t="s">
        <v>4</v>
      </c>
    </row>
    <row r="3" spans="1:13">
      <c r="A3" s="3" t="s">
        <v>6</v>
      </c>
      <c r="B3">
        <v>13.362</v>
      </c>
      <c r="C3">
        <v>14.67</v>
      </c>
      <c r="D3">
        <v>10.644</v>
      </c>
      <c r="E3">
        <v>10.824</v>
      </c>
      <c r="F3">
        <v>9.8659999999999997</v>
      </c>
      <c r="G3">
        <v>9.702</v>
      </c>
      <c r="H3">
        <v>8.98</v>
      </c>
      <c r="I3">
        <v>10.922000000000001</v>
      </c>
      <c r="J3">
        <v>10.506</v>
      </c>
      <c r="K3">
        <v>10.683999999999999</v>
      </c>
      <c r="L3">
        <v>10.218</v>
      </c>
      <c r="M3">
        <v>9.86</v>
      </c>
    </row>
    <row r="4" spans="1:13">
      <c r="A4" s="3" t="s">
        <v>7</v>
      </c>
      <c r="B4">
        <v>24.7</v>
      </c>
      <c r="C4">
        <v>24.7</v>
      </c>
      <c r="D4">
        <v>24.7</v>
      </c>
      <c r="E4">
        <v>24.7</v>
      </c>
      <c r="F4">
        <v>24.7</v>
      </c>
      <c r="G4">
        <v>24.7</v>
      </c>
      <c r="H4">
        <v>24.7</v>
      </c>
      <c r="I4">
        <v>24.7</v>
      </c>
      <c r="J4">
        <v>24.7</v>
      </c>
      <c r="K4">
        <v>24.4</v>
      </c>
      <c r="L4">
        <v>24.7</v>
      </c>
      <c r="M4">
        <v>24.7</v>
      </c>
    </row>
    <row r="5" spans="1:13">
      <c r="A5" s="3" t="s">
        <v>8</v>
      </c>
      <c r="B5">
        <v>25</v>
      </c>
      <c r="C5">
        <v>25</v>
      </c>
      <c r="D5">
        <v>25</v>
      </c>
      <c r="E5">
        <v>25</v>
      </c>
      <c r="F5">
        <v>25</v>
      </c>
      <c r="G5">
        <v>25</v>
      </c>
      <c r="H5">
        <v>25</v>
      </c>
      <c r="I5">
        <v>25</v>
      </c>
      <c r="J5">
        <v>25</v>
      </c>
      <c r="K5">
        <v>25</v>
      </c>
      <c r="L5">
        <v>25</v>
      </c>
      <c r="M5">
        <v>25</v>
      </c>
    </row>
    <row r="6" spans="1:13">
      <c r="A6" s="3" t="s">
        <v>9</v>
      </c>
      <c r="B6">
        <v>281.92370999999997</v>
      </c>
      <c r="C6">
        <f t="shared" ref="C6:M6" si="0">$B$6</f>
        <v>281.92370999999997</v>
      </c>
      <c r="D6">
        <f t="shared" si="0"/>
        <v>281.92370999999997</v>
      </c>
      <c r="E6">
        <f t="shared" si="0"/>
        <v>281.92370999999997</v>
      </c>
      <c r="F6">
        <f t="shared" si="0"/>
        <v>281.92370999999997</v>
      </c>
      <c r="G6">
        <f t="shared" si="0"/>
        <v>281.92370999999997</v>
      </c>
      <c r="H6">
        <f t="shared" si="0"/>
        <v>281.92370999999997</v>
      </c>
      <c r="I6">
        <f t="shared" si="0"/>
        <v>281.92370999999997</v>
      </c>
      <c r="J6">
        <f t="shared" si="0"/>
        <v>281.92370999999997</v>
      </c>
      <c r="K6">
        <f t="shared" si="0"/>
        <v>281.92370999999997</v>
      </c>
      <c r="L6">
        <f t="shared" si="0"/>
        <v>281.92370999999997</v>
      </c>
      <c r="M6">
        <f t="shared" si="0"/>
        <v>281.92370999999997</v>
      </c>
    </row>
    <row r="7" spans="1:13">
      <c r="A7" s="8" t="s">
        <v>10</v>
      </c>
      <c r="B7" s="9">
        <v>4.7395800800152646E-5</v>
      </c>
      <c r="C7" s="9">
        <v>5.2035353819655688E-5</v>
      </c>
      <c r="D7" s="9">
        <v>3.7754894755038525E-5</v>
      </c>
      <c r="E7" s="9">
        <v>3.8393365354052699E-5</v>
      </c>
      <c r="F7" s="9">
        <v>3.4995282943743894E-5</v>
      </c>
      <c r="G7" s="9">
        <v>3.4413565286864312E-5</v>
      </c>
      <c r="H7" s="9">
        <v>3.1852588773040765E-5</v>
      </c>
      <c r="I7" s="9">
        <v>3.8740977124627093E-5</v>
      </c>
      <c r="J7" s="9">
        <v>3.7265400629127647E-5</v>
      </c>
      <c r="K7" s="9">
        <v>3.7896777110375003E-5</v>
      </c>
      <c r="L7" s="9">
        <v>3.6243847670704962E-5</v>
      </c>
      <c r="M7" s="9">
        <v>3.4974000590443419E-5</v>
      </c>
    </row>
    <row r="8" spans="1:13">
      <c r="A8" s="8" t="s">
        <v>11</v>
      </c>
      <c r="B8" s="10">
        <v>-512.60925058381667</v>
      </c>
      <c r="C8" s="10">
        <v>-512.60925058381667</v>
      </c>
      <c r="D8" s="10">
        <v>-512.60925058381667</v>
      </c>
      <c r="E8" s="10">
        <v>-512.60925058381667</v>
      </c>
      <c r="F8" s="10">
        <v>-512.60925058381667</v>
      </c>
      <c r="G8" s="10">
        <v>-512.60925058381667</v>
      </c>
      <c r="H8" s="10">
        <v>-512.60925058381667</v>
      </c>
      <c r="I8" s="10">
        <v>-512.60925058381667</v>
      </c>
      <c r="J8" s="10">
        <v>-512.60925058381667</v>
      </c>
      <c r="K8" s="10">
        <v>-512.63292556920419</v>
      </c>
      <c r="L8" s="10">
        <v>-512.60925058381667</v>
      </c>
      <c r="M8" s="10">
        <v>-512.60925058381667</v>
      </c>
    </row>
    <row r="9" spans="1:13">
      <c r="A9" s="8" t="s">
        <v>12</v>
      </c>
      <c r="B9" s="10">
        <v>-512.58555601064586</v>
      </c>
      <c r="C9" s="10">
        <v>-512.58555601064586</v>
      </c>
      <c r="D9" s="10">
        <v>-512.58555601064586</v>
      </c>
      <c r="E9" s="10">
        <v>-512.58555601064586</v>
      </c>
      <c r="F9" s="10">
        <v>-512.58555601064586</v>
      </c>
      <c r="G9" s="10">
        <v>-512.58555601064586</v>
      </c>
      <c r="H9" s="10">
        <v>-512.58555601064586</v>
      </c>
      <c r="I9" s="10">
        <v>-512.58555601064586</v>
      </c>
      <c r="J9" s="10">
        <v>-512.58555601064586</v>
      </c>
      <c r="K9" s="10">
        <v>-512.58555601064586</v>
      </c>
      <c r="L9" s="10">
        <v>-512.58555601064586</v>
      </c>
      <c r="M9" s="10">
        <v>-512.58555601064586</v>
      </c>
    </row>
    <row r="10" spans="1:13">
      <c r="A10" s="8" t="s">
        <v>13</v>
      </c>
      <c r="B10" s="11">
        <v>1.1230232700485743E-3</v>
      </c>
      <c r="C10" s="11">
        <v>1.2329554985490636E-3</v>
      </c>
      <c r="D10" s="11">
        <v>8.9458611632966818E-4</v>
      </c>
      <c r="E10" s="11">
        <v>9.0971440465542337E-4</v>
      </c>
      <c r="F10" s="11">
        <v>8.2919829234390306E-4</v>
      </c>
      <c r="G10" s="11">
        <v>8.1541474075821495E-4</v>
      </c>
      <c r="H10" s="11">
        <v>7.5473349536268506E-4</v>
      </c>
      <c r="I10" s="11">
        <v>9.1795091718833478E-4</v>
      </c>
      <c r="J10" s="11">
        <v>8.8298776194658884E-4</v>
      </c>
      <c r="K10" s="11">
        <v>1.7951536025018896E-3</v>
      </c>
      <c r="L10" s="11">
        <v>8.5878250062538044E-4</v>
      </c>
      <c r="M10" s="11">
        <v>8.2869401606637787E-4</v>
      </c>
    </row>
    <row r="11" spans="1:13">
      <c r="A11" s="3" t="s">
        <v>14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>
      <c r="A12" s="3" t="s">
        <v>15</v>
      </c>
      <c r="B12">
        <v>30</v>
      </c>
      <c r="C12">
        <v>30</v>
      </c>
      <c r="D12">
        <v>30</v>
      </c>
      <c r="E12">
        <v>30</v>
      </c>
      <c r="F12">
        <v>30</v>
      </c>
      <c r="G12">
        <v>30</v>
      </c>
      <c r="H12">
        <v>30</v>
      </c>
      <c r="I12">
        <v>30</v>
      </c>
      <c r="J12">
        <v>30</v>
      </c>
      <c r="K12">
        <v>30</v>
      </c>
      <c r="L12">
        <v>30</v>
      </c>
      <c r="M12">
        <v>30</v>
      </c>
    </row>
    <row r="13" spans="1:13">
      <c r="A13" s="3" t="s">
        <v>16</v>
      </c>
      <c r="B13">
        <v>76</v>
      </c>
      <c r="C13">
        <v>86</v>
      </c>
      <c r="D13">
        <v>79</v>
      </c>
      <c r="E13">
        <v>76</v>
      </c>
      <c r="F13">
        <v>81</v>
      </c>
      <c r="G13">
        <v>81</v>
      </c>
      <c r="H13">
        <v>79</v>
      </c>
      <c r="I13">
        <v>78</v>
      </c>
      <c r="J13">
        <v>79</v>
      </c>
      <c r="K13">
        <v>71</v>
      </c>
      <c r="L13">
        <v>77</v>
      </c>
      <c r="M13">
        <v>73</v>
      </c>
    </row>
    <row r="14" spans="1:13">
      <c r="A14" s="8" t="s">
        <v>17</v>
      </c>
      <c r="B14" s="8">
        <v>46</v>
      </c>
      <c r="C14" s="8">
        <v>56</v>
      </c>
      <c r="D14" s="8">
        <v>49</v>
      </c>
      <c r="E14" s="8">
        <v>46</v>
      </c>
      <c r="F14" s="8">
        <v>51</v>
      </c>
      <c r="G14" s="8">
        <v>51</v>
      </c>
      <c r="H14" s="8">
        <v>49</v>
      </c>
      <c r="I14" s="8">
        <v>48</v>
      </c>
      <c r="J14" s="8">
        <v>49</v>
      </c>
      <c r="K14" s="8">
        <v>41</v>
      </c>
      <c r="L14" s="8">
        <v>47</v>
      </c>
      <c r="M14" s="8">
        <v>43</v>
      </c>
    </row>
    <row r="15" spans="1:13">
      <c r="A15" s="3" t="s">
        <v>18</v>
      </c>
      <c r="B15">
        <v>106</v>
      </c>
      <c r="C15">
        <v>116</v>
      </c>
      <c r="D15">
        <v>109</v>
      </c>
      <c r="E15">
        <v>106</v>
      </c>
      <c r="F15">
        <v>111</v>
      </c>
      <c r="G15">
        <v>111</v>
      </c>
      <c r="H15">
        <v>109</v>
      </c>
      <c r="I15">
        <v>108</v>
      </c>
      <c r="J15">
        <v>109</v>
      </c>
      <c r="K15">
        <v>101</v>
      </c>
      <c r="L15">
        <v>107</v>
      </c>
      <c r="M15">
        <v>103</v>
      </c>
    </row>
    <row r="16" spans="1:13">
      <c r="A16" s="8" t="s">
        <v>19</v>
      </c>
      <c r="B16" s="8">
        <v>30</v>
      </c>
      <c r="C16" s="8">
        <v>30</v>
      </c>
      <c r="D16" s="8">
        <v>30</v>
      </c>
      <c r="E16" s="8">
        <v>30</v>
      </c>
      <c r="F16" s="8">
        <v>30</v>
      </c>
      <c r="G16" s="8">
        <v>30</v>
      </c>
      <c r="H16" s="8">
        <v>30</v>
      </c>
      <c r="I16" s="8">
        <v>30</v>
      </c>
      <c r="J16" s="8">
        <v>30</v>
      </c>
      <c r="K16" s="8">
        <v>30</v>
      </c>
      <c r="L16" s="8">
        <v>30</v>
      </c>
      <c r="M16" s="8">
        <v>30</v>
      </c>
    </row>
    <row r="17" spans="1:13">
      <c r="A17" s="3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>
      <c r="A18" s="3" t="s">
        <v>21</v>
      </c>
      <c r="B18">
        <v>1.0133541666699999</v>
      </c>
      <c r="C18">
        <v>3.3291041666700001</v>
      </c>
      <c r="D18">
        <v>0.26352083333199999</v>
      </c>
      <c r="E18">
        <v>-1.2635208333299999</v>
      </c>
      <c r="F18">
        <v>0.33205208333399999</v>
      </c>
      <c r="G18">
        <v>-0.56018749999499995</v>
      </c>
      <c r="H18">
        <v>0.60120833333299994</v>
      </c>
      <c r="I18">
        <v>-1.3862395833300001</v>
      </c>
      <c r="J18">
        <v>1.26510416667</v>
      </c>
      <c r="K18">
        <v>-0.74015624999999996</v>
      </c>
      <c r="L18">
        <v>-3.2483229166699998</v>
      </c>
      <c r="M18">
        <v>-1.58928125</v>
      </c>
    </row>
    <row r="19" spans="1:13">
      <c r="A19" s="3" t="s">
        <v>22</v>
      </c>
      <c r="B19">
        <v>1841.2209687500001</v>
      </c>
      <c r="C19">
        <v>2035.1398041699999</v>
      </c>
      <c r="D19">
        <v>1465.8812395800001</v>
      </c>
      <c r="E19">
        <v>1484.4199020799999</v>
      </c>
      <c r="F19">
        <v>1367.6041687500001</v>
      </c>
      <c r="G19">
        <v>1339.78257917</v>
      </c>
      <c r="H19">
        <v>1210.20600625</v>
      </c>
      <c r="I19">
        <v>1489.37074792</v>
      </c>
      <c r="J19">
        <v>1450.1683354199999</v>
      </c>
      <c r="K19">
        <v>1414.17431042</v>
      </c>
      <c r="L19">
        <v>1409.181225</v>
      </c>
      <c r="M19">
        <v>1344.76763542</v>
      </c>
    </row>
    <row r="20" spans="1:13">
      <c r="A20" s="3" t="s">
        <v>23</v>
      </c>
      <c r="B20">
        <v>1824.5009375</v>
      </c>
      <c r="C20">
        <v>2032.1219604200001</v>
      </c>
      <c r="D20">
        <v>1456.99579167</v>
      </c>
      <c r="E20">
        <v>1467.08373542</v>
      </c>
      <c r="F20">
        <v>1364.61509583</v>
      </c>
      <c r="G20">
        <v>1335.6984020800001</v>
      </c>
      <c r="H20">
        <v>1204.40492292</v>
      </c>
      <c r="I20">
        <v>1475.4975708300001</v>
      </c>
      <c r="J20">
        <v>1440.8212625000001</v>
      </c>
      <c r="K20">
        <v>1389.9129666700001</v>
      </c>
      <c r="L20">
        <v>1392.97638125</v>
      </c>
      <c r="M20">
        <v>1321.6180312500001</v>
      </c>
    </row>
    <row r="21" spans="1:13">
      <c r="A21" s="8" t="s">
        <v>24</v>
      </c>
      <c r="B21" s="13">
        <v>-0.26177795138883581</v>
      </c>
      <c r="C21" s="13">
        <v>5.1876736111686125E-3</v>
      </c>
      <c r="D21" s="13">
        <v>-0.14369878461113397</v>
      </c>
      <c r="E21" s="13">
        <v>-0.30999479155549814</v>
      </c>
      <c r="F21" s="13">
        <v>-4.4283680611102105E-2</v>
      </c>
      <c r="G21" s="13">
        <v>-7.7406076499915197E-2</v>
      </c>
      <c r="H21" s="13">
        <v>-8.6664583277783064E-2</v>
      </c>
      <c r="I21" s="13">
        <v>-0.25432361122216496</v>
      </c>
      <c r="J21" s="13">
        <v>-0.1346994792221641</v>
      </c>
      <c r="K21" s="13">
        <v>-0.41669166666666541</v>
      </c>
      <c r="L21" s="13">
        <v>-0.32421944444450013</v>
      </c>
      <c r="M21" s="13">
        <v>-0.41231475699999959</v>
      </c>
    </row>
    <row r="22" spans="1:13">
      <c r="A22" s="8" t="s">
        <v>25</v>
      </c>
      <c r="B22" s="13">
        <v>-11.028431597216446</v>
      </c>
      <c r="C22" s="13">
        <v>3.6196138888954423</v>
      </c>
      <c r="D22" s="13">
        <v>-6.7777196126135655</v>
      </c>
      <c r="E22" s="13">
        <v>-15.523281244882915</v>
      </c>
      <c r="F22" s="13">
        <v>-1.9264156278322073</v>
      </c>
      <c r="G22" s="13">
        <v>-4.5078974014906752</v>
      </c>
      <c r="H22" s="13">
        <v>-3.6453562472783698</v>
      </c>
      <c r="I22" s="13">
        <v>-13.593772921993917</v>
      </c>
      <c r="J22" s="13">
        <v>-5.3351703152160415</v>
      </c>
      <c r="K22" s="13">
        <v>-17.824514583333279</v>
      </c>
      <c r="L22" s="13">
        <v>-18.486636805561506</v>
      </c>
      <c r="M22" s="13">
        <v>-19.318815800999982</v>
      </c>
    </row>
    <row r="23" spans="1:13">
      <c r="A23" s="8" t="s">
        <v>26</v>
      </c>
      <c r="B23" s="13">
        <v>-0.59540748644049191</v>
      </c>
      <c r="C23" s="13">
        <v>0.1781726761177102</v>
      </c>
      <c r="D23" s="13">
        <v>-0.460236877676652</v>
      </c>
      <c r="E23" s="13">
        <v>-1.0349246169760167</v>
      </c>
      <c r="F23" s="13">
        <v>-0.14066247587361211</v>
      </c>
      <c r="G23" s="13">
        <v>-0.33533655709499038</v>
      </c>
      <c r="H23" s="13">
        <v>-0.30031323108446428</v>
      </c>
      <c r="I23" s="13">
        <v>-0.90446399322709137</v>
      </c>
      <c r="J23" s="13">
        <v>-0.36655152627207827</v>
      </c>
      <c r="K23" s="14">
        <v>-1.2447296933565424</v>
      </c>
      <c r="L23" s="14">
        <v>-1.2948835860311085</v>
      </c>
      <c r="M23" s="14">
        <v>-1.416245706693122</v>
      </c>
    </row>
    <row r="24" spans="1:13">
      <c r="A24" s="8" t="s">
        <v>27</v>
      </c>
      <c r="B24" s="13">
        <v>1852.2494003472166</v>
      </c>
      <c r="C24" s="13">
        <v>2031.5201902811045</v>
      </c>
      <c r="D24" s="13">
        <v>1472.6589591926136</v>
      </c>
      <c r="E24" s="13">
        <v>1499.9431833248827</v>
      </c>
      <c r="F24" s="13">
        <v>1369.5305843778324</v>
      </c>
      <c r="G24" s="13">
        <v>1344.2904765714907</v>
      </c>
      <c r="H24" s="13">
        <v>1213.8513624972784</v>
      </c>
      <c r="I24" s="13">
        <v>1502.9645208419938</v>
      </c>
      <c r="J24" s="13">
        <v>1455.5035057352161</v>
      </c>
      <c r="K24" s="13">
        <v>1431.9988250033332</v>
      </c>
      <c r="L24" s="13">
        <v>1427.6678618055616</v>
      </c>
      <c r="M24" s="13">
        <v>1364.0864512210001</v>
      </c>
    </row>
    <row r="25" spans="1:13">
      <c r="A25" s="4"/>
    </row>
    <row r="26" spans="1:13">
      <c r="A26" s="4" t="s">
        <v>28</v>
      </c>
      <c r="B26" s="15">
        <v>1.2625285078596573E-3</v>
      </c>
      <c r="C26" s="15">
        <f t="shared" ref="C26:M26" si="1">$B$26</f>
        <v>1.2625285078596573E-3</v>
      </c>
      <c r="D26" s="15">
        <f t="shared" si="1"/>
        <v>1.2625285078596573E-3</v>
      </c>
      <c r="E26" s="15">
        <f t="shared" si="1"/>
        <v>1.2625285078596573E-3</v>
      </c>
      <c r="F26" s="15">
        <f t="shared" si="1"/>
        <v>1.2625285078596573E-3</v>
      </c>
      <c r="G26" s="15">
        <f t="shared" si="1"/>
        <v>1.2625285078596573E-3</v>
      </c>
      <c r="H26" s="15">
        <f t="shared" si="1"/>
        <v>1.2625285078596573E-3</v>
      </c>
      <c r="I26" s="15">
        <f t="shared" si="1"/>
        <v>1.2625285078596573E-3</v>
      </c>
      <c r="J26" s="15">
        <f t="shared" si="1"/>
        <v>1.2625285078596573E-3</v>
      </c>
      <c r="K26" s="15">
        <f t="shared" si="1"/>
        <v>1.2625285078596573E-3</v>
      </c>
      <c r="L26" s="15">
        <f t="shared" si="1"/>
        <v>1.2625285078596573E-3</v>
      </c>
      <c r="M26" s="15">
        <f t="shared" si="1"/>
        <v>1.2625285078596573E-3</v>
      </c>
    </row>
    <row r="27" spans="1:13">
      <c r="A27" s="8" t="s">
        <v>29</v>
      </c>
      <c r="B27" s="13">
        <v>2.3385176716043161</v>
      </c>
      <c r="C27" s="13">
        <v>2.5648521545223701</v>
      </c>
      <c r="D27" s="13">
        <v>1.8592739183356064</v>
      </c>
      <c r="E27" s="13">
        <v>1.8937210291174287</v>
      </c>
      <c r="F27" s="13">
        <v>1.7290714051627092</v>
      </c>
      <c r="G27" s="13">
        <v>1.6972050495157518</v>
      </c>
      <c r="H27" s="13">
        <v>1.5325219494571007</v>
      </c>
      <c r="I27" s="13">
        <v>1.8975355538646472</v>
      </c>
      <c r="J27" s="13">
        <v>1.8376146692803825</v>
      </c>
      <c r="K27" s="13">
        <v>1.8079393397882408</v>
      </c>
      <c r="L27" s="13">
        <v>1.8024713752845631</v>
      </c>
      <c r="M27" s="13">
        <v>1.7221980318516243</v>
      </c>
    </row>
    <row r="28" spans="1:13">
      <c r="A28" s="13" t="s">
        <v>30</v>
      </c>
      <c r="B28" s="13">
        <v>0.17501254839128244</v>
      </c>
      <c r="C28" s="13">
        <v>0.1748365476838698</v>
      </c>
      <c r="D28" s="13">
        <v>0.17467812085077097</v>
      </c>
      <c r="E28" s="13">
        <v>0.17495574917936332</v>
      </c>
      <c r="F28" s="13">
        <v>0.17525556508845624</v>
      </c>
      <c r="G28" s="13">
        <v>0.17493352396575468</v>
      </c>
      <c r="H28" s="13">
        <v>0.17065945985045664</v>
      </c>
      <c r="I28" s="13">
        <v>0.17373517248348719</v>
      </c>
      <c r="J28" s="13">
        <v>0.17491097175712758</v>
      </c>
      <c r="K28" s="13">
        <v>0.16921933169114947</v>
      </c>
      <c r="L28" s="13">
        <v>0.17640158301864975</v>
      </c>
      <c r="M28" s="13">
        <v>0.17466511479225399</v>
      </c>
    </row>
    <row r="29" spans="1:13">
      <c r="A29" s="13" t="s">
        <v>31</v>
      </c>
      <c r="B29" s="13">
        <v>49.340186939024875</v>
      </c>
      <c r="C29" s="13">
        <v>49.290568166628475</v>
      </c>
      <c r="D29" s="13">
        <v>49.245903886077706</v>
      </c>
      <c r="E29" s="13">
        <v>49.324173894475557</v>
      </c>
      <c r="F29" s="13">
        <v>49.408699107884054</v>
      </c>
      <c r="G29" s="13">
        <v>49.317908079799466</v>
      </c>
      <c r="H29" s="13">
        <v>48.112948067636772</v>
      </c>
      <c r="I29" s="13">
        <v>48.98006438403462</v>
      </c>
      <c r="J29" s="13">
        <v>49.311550077474621</v>
      </c>
      <c r="K29" s="13">
        <v>47.706941794089431</v>
      </c>
      <c r="L29" s="13">
        <v>49.731788734490735</v>
      </c>
      <c r="M29" s="13">
        <v>49.242237169808121</v>
      </c>
    </row>
    <row r="31" spans="1:13">
      <c r="B31" s="7">
        <f>AVERAGE(B29:M29)</f>
        <v>49.084414191785363</v>
      </c>
    </row>
    <row r="32" spans="1:13">
      <c r="B32">
        <f>2*STDEV(B29:M29)/SQRT(B33)</f>
        <v>0.33479170454146612</v>
      </c>
    </row>
    <row r="33" spans="2:2">
      <c r="B3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BE434-D68E-4EEB-AB01-23EB21999D94}">
  <dimension ref="A1:K37"/>
  <sheetViews>
    <sheetView tabSelected="1" zoomScale="160" zoomScaleNormal="160" workbookViewId="0"/>
  </sheetViews>
  <sheetFormatPr defaultRowHeight="14.25"/>
  <cols>
    <col min="1" max="1" width="27.375" customWidth="1"/>
  </cols>
  <sheetData>
    <row r="1" spans="1:11" ht="15">
      <c r="A1" s="17"/>
      <c r="B1" s="17" t="s">
        <v>38</v>
      </c>
      <c r="C1" s="17"/>
      <c r="D1" s="17"/>
      <c r="E1" s="17" t="s">
        <v>32</v>
      </c>
      <c r="H1" s="17" t="s">
        <v>39</v>
      </c>
      <c r="I1" s="17"/>
    </row>
    <row r="2" spans="1:11" ht="15">
      <c r="A2" s="17" t="s">
        <v>40</v>
      </c>
      <c r="B2" s="18">
        <v>-149.67553775409601</v>
      </c>
      <c r="C2" s="18">
        <v>0.59874482778567706</v>
      </c>
      <c r="D2" s="17">
        <v>9</v>
      </c>
      <c r="E2" s="17">
        <v>1</v>
      </c>
      <c r="H2" s="17">
        <v>-601.6</v>
      </c>
      <c r="I2" s="17">
        <v>0.30000000000000004</v>
      </c>
      <c r="J2" s="17">
        <v>13</v>
      </c>
    </row>
    <row r="3" spans="1:11" ht="19.5">
      <c r="A3" s="19" t="s">
        <v>41</v>
      </c>
      <c r="B3" s="18">
        <v>-46.622247084897701</v>
      </c>
      <c r="C3" s="18">
        <v>0.12722240761553402</v>
      </c>
      <c r="D3" s="20">
        <v>12</v>
      </c>
      <c r="E3" s="17">
        <v>2</v>
      </c>
    </row>
    <row r="4" spans="1:11" ht="15">
      <c r="A4" s="19" t="s">
        <v>42</v>
      </c>
      <c r="B4" s="18">
        <v>-47.947407084897698</v>
      </c>
      <c r="C4" s="18">
        <v>0.12722240761553402</v>
      </c>
      <c r="D4" s="20"/>
      <c r="E4" s="17">
        <v>3</v>
      </c>
      <c r="H4" s="17">
        <v>-549.4</v>
      </c>
      <c r="I4" s="17">
        <v>1.4</v>
      </c>
      <c r="J4" s="17">
        <v>14</v>
      </c>
    </row>
    <row r="5" spans="1:11" ht="19.5">
      <c r="A5" s="21" t="s">
        <v>43</v>
      </c>
      <c r="B5" s="18">
        <v>-53.496122087619703</v>
      </c>
      <c r="C5" s="18">
        <v>0.47953307096115205</v>
      </c>
      <c r="D5" s="17">
        <v>7</v>
      </c>
      <c r="E5" s="17">
        <v>4</v>
      </c>
      <c r="H5" s="22">
        <v>-1288.6400000000001</v>
      </c>
      <c r="I5" s="22">
        <v>1.28</v>
      </c>
      <c r="J5">
        <v>15</v>
      </c>
      <c r="K5" t="s">
        <v>44</v>
      </c>
    </row>
    <row r="6" spans="1:11" ht="19.5">
      <c r="A6" s="19" t="s">
        <v>45</v>
      </c>
      <c r="B6" s="17">
        <v>-0.54</v>
      </c>
      <c r="C6" s="17"/>
      <c r="D6" s="17"/>
      <c r="E6" s="17">
        <v>5</v>
      </c>
      <c r="H6" s="17">
        <v>-285.83</v>
      </c>
      <c r="I6" s="17">
        <v>0.04</v>
      </c>
      <c r="J6" s="17">
        <v>16</v>
      </c>
      <c r="K6" t="s">
        <v>65</v>
      </c>
    </row>
    <row r="7" spans="1:11" ht="15">
      <c r="A7" s="17" t="s">
        <v>46</v>
      </c>
      <c r="B7" s="18">
        <f>0.4*0.162*21.8</f>
        <v>1.4126400000000003</v>
      </c>
      <c r="C7" s="18">
        <f>0.4*0.162*2.6</f>
        <v>0.16848000000000005</v>
      </c>
      <c r="D7" s="17"/>
      <c r="E7" s="17">
        <v>6</v>
      </c>
      <c r="H7" s="17"/>
      <c r="I7" s="17"/>
    </row>
    <row r="8" spans="1:11" ht="19.5">
      <c r="A8" s="17" t="s">
        <v>47</v>
      </c>
      <c r="B8" s="18">
        <v>85.335209112785705</v>
      </c>
      <c r="C8" s="18">
        <v>0.23875134993571101</v>
      </c>
      <c r="D8" s="17"/>
      <c r="E8" s="17">
        <v>7</v>
      </c>
      <c r="H8" s="23">
        <v>-6062.4486399999996</v>
      </c>
      <c r="I8" s="23">
        <v>2</v>
      </c>
      <c r="J8" s="17">
        <v>17</v>
      </c>
    </row>
    <row r="9" spans="1:11" ht="19.5">
      <c r="A9" s="17" t="s">
        <v>48</v>
      </c>
      <c r="B9" s="18">
        <v>37.387597378679502</v>
      </c>
      <c r="C9" s="18">
        <v>0.19124553672274902</v>
      </c>
      <c r="D9" s="17"/>
      <c r="E9" s="17">
        <v>8</v>
      </c>
      <c r="H9" s="17">
        <v>-1437.7</v>
      </c>
      <c r="I9" s="17">
        <v>0.5</v>
      </c>
      <c r="J9" s="17">
        <v>18</v>
      </c>
    </row>
    <row r="10" spans="1:11" ht="19.5">
      <c r="A10" s="17" t="s">
        <v>50</v>
      </c>
      <c r="B10">
        <f>melanterite!B31</f>
        <v>49.084414191785363</v>
      </c>
      <c r="C10">
        <f>melanterite!B32</f>
        <v>0.33479170454146612</v>
      </c>
      <c r="E10" s="17">
        <v>19</v>
      </c>
      <c r="H10" s="17">
        <v>-3012.51</v>
      </c>
      <c r="I10" s="17">
        <v>0.6</v>
      </c>
      <c r="J10" s="17">
        <v>20</v>
      </c>
      <c r="K10" t="s">
        <v>65</v>
      </c>
    </row>
    <row r="11" spans="1:11" ht="18.75">
      <c r="A11" t="s">
        <v>49</v>
      </c>
      <c r="B11">
        <f>H!B31</f>
        <v>83.596021156825813</v>
      </c>
      <c r="C11">
        <f>H!B32</f>
        <v>0.86187164532424143</v>
      </c>
      <c r="E11" s="17">
        <v>12</v>
      </c>
    </row>
    <row r="13" spans="1:11" ht="15">
      <c r="A13" s="17" t="s">
        <v>59</v>
      </c>
      <c r="H13">
        <f>(4*B4)+B10+(5*B5)+(12*B6)-B11-(5*B2)</f>
        <v>248.11584302775032</v>
      </c>
      <c r="I13">
        <f>SQRT((4*C4)^2+C10+(5*C5)^2+(12*C6)^2+C11+(5*C2)^2)</f>
        <v>4.020797853597708</v>
      </c>
    </row>
    <row r="14" spans="1:11" ht="15">
      <c r="A14" s="17" t="s">
        <v>61</v>
      </c>
    </row>
    <row r="15" spans="1:11" ht="15">
      <c r="A15" s="17" t="s">
        <v>62</v>
      </c>
      <c r="H15">
        <f>(4*B4)+B10+(5*B5)+(12*B6)-B11-(5*B2)+(4*H4)+H10+(5*H5)+(12*H6)-(5*H2)</f>
        <v>-11827.15415697225</v>
      </c>
      <c r="I15">
        <f>SQRT((4*C4)^2+C10+(5*C5)^2+(12*C6)^2+C11+(5*C2)^2+(4*I4)^2+I10+(5*I5)^2+(12*I6)^2+(5*I2)^2)</f>
        <v>9.5690759940286778</v>
      </c>
    </row>
    <row r="16" spans="1:11" ht="15">
      <c r="A16" s="17" t="s">
        <v>66</v>
      </c>
    </row>
    <row r="20" spans="1:7" ht="15">
      <c r="A20" t="s">
        <v>60</v>
      </c>
      <c r="B20" s="17" t="s">
        <v>59</v>
      </c>
    </row>
    <row r="21" spans="1:7">
      <c r="B21" s="16"/>
      <c r="C21" s="16" t="s">
        <v>54</v>
      </c>
      <c r="D21" s="16" t="s">
        <v>55</v>
      </c>
      <c r="E21" s="16" t="s">
        <v>56</v>
      </c>
      <c r="F21" s="16" t="s">
        <v>57</v>
      </c>
      <c r="G21" s="16" t="s">
        <v>58</v>
      </c>
    </row>
    <row r="22" spans="1:7">
      <c r="A22" t="s">
        <v>42</v>
      </c>
      <c r="B22" s="16">
        <v>-4</v>
      </c>
      <c r="C22" s="16">
        <f>B22</f>
        <v>-4</v>
      </c>
      <c r="D22" s="16">
        <v>0</v>
      </c>
      <c r="E22" s="16">
        <v>0</v>
      </c>
      <c r="F22" s="16">
        <f>2*B22</f>
        <v>-8</v>
      </c>
      <c r="G22" s="16">
        <f>B22</f>
        <v>-4</v>
      </c>
    </row>
    <row r="23" spans="1:7">
      <c r="A23" t="s">
        <v>51</v>
      </c>
      <c r="B23" s="16">
        <v>-1</v>
      </c>
      <c r="C23" s="16">
        <f>B23</f>
        <v>-1</v>
      </c>
      <c r="D23" s="16">
        <v>0</v>
      </c>
      <c r="E23" s="16">
        <f>B23</f>
        <v>-1</v>
      </c>
      <c r="F23" s="16">
        <f>B23*(4+7)</f>
        <v>-11</v>
      </c>
      <c r="G23" s="16">
        <f>14*B23</f>
        <v>-14</v>
      </c>
    </row>
    <row r="24" spans="1:7">
      <c r="A24" t="s">
        <v>52</v>
      </c>
      <c r="B24" s="16">
        <v>-5</v>
      </c>
      <c r="C24" s="16">
        <v>0</v>
      </c>
      <c r="D24" s="16">
        <f>B24</f>
        <v>-5</v>
      </c>
      <c r="E24" s="16">
        <f>B24</f>
        <v>-5</v>
      </c>
      <c r="F24" s="16">
        <f>4*B24</f>
        <v>-20</v>
      </c>
      <c r="G24" s="16">
        <v>0</v>
      </c>
    </row>
    <row r="25" spans="1:7">
      <c r="A25" t="s">
        <v>40</v>
      </c>
      <c r="B25" s="16">
        <v>5</v>
      </c>
      <c r="C25" s="16">
        <v>0</v>
      </c>
      <c r="D25" s="16">
        <f>B25</f>
        <v>5</v>
      </c>
      <c r="E25" s="16">
        <v>0</v>
      </c>
      <c r="F25" s="16">
        <f>B25</f>
        <v>5</v>
      </c>
      <c r="G25" s="16">
        <v>0</v>
      </c>
    </row>
    <row r="26" spans="1:7">
      <c r="A26" t="s">
        <v>53</v>
      </c>
      <c r="B26" s="16">
        <v>-12</v>
      </c>
      <c r="C26" s="16">
        <v>0</v>
      </c>
      <c r="D26" s="16">
        <v>0</v>
      </c>
      <c r="E26" s="16">
        <v>0</v>
      </c>
      <c r="F26" s="16">
        <f>B26</f>
        <v>-12</v>
      </c>
      <c r="G26" s="16">
        <f>2*B26</f>
        <v>-24</v>
      </c>
    </row>
    <row r="27" spans="1:7" ht="18.75">
      <c r="A27" t="s">
        <v>49</v>
      </c>
      <c r="B27" s="16">
        <v>1</v>
      </c>
      <c r="C27" s="16">
        <f>5*B27</f>
        <v>5</v>
      </c>
      <c r="D27" s="16">
        <v>0</v>
      </c>
      <c r="E27" s="16">
        <f>6*B27</f>
        <v>6</v>
      </c>
      <c r="F27" s="16">
        <f>B27*(24+2+20)</f>
        <v>46</v>
      </c>
      <c r="G27" s="16">
        <f>B27*(2+40)</f>
        <v>42</v>
      </c>
    </row>
    <row r="28" spans="1:7">
      <c r="B28" s="16"/>
      <c r="C28" s="16">
        <f>SUM(C22:C27)</f>
        <v>0</v>
      </c>
      <c r="D28" s="16">
        <f t="shared" ref="D28:G28" si="0">SUM(D22:D27)</f>
        <v>0</v>
      </c>
      <c r="E28" s="16">
        <f t="shared" si="0"/>
        <v>0</v>
      </c>
      <c r="F28" s="16">
        <f t="shared" si="0"/>
        <v>0</v>
      </c>
      <c r="G28" s="16">
        <f t="shared" si="0"/>
        <v>0</v>
      </c>
    </row>
    <row r="30" spans="1:7" ht="15">
      <c r="A30" t="s">
        <v>60</v>
      </c>
      <c r="B30" s="17" t="s">
        <v>62</v>
      </c>
    </row>
    <row r="31" spans="1:7">
      <c r="B31" s="16"/>
      <c r="C31" s="16" t="s">
        <v>54</v>
      </c>
      <c r="D31" s="16" t="s">
        <v>56</v>
      </c>
      <c r="E31" s="16" t="s">
        <v>57</v>
      </c>
      <c r="F31" s="16" t="s">
        <v>58</v>
      </c>
    </row>
    <row r="32" spans="1:7">
      <c r="A32" t="s">
        <v>54</v>
      </c>
      <c r="B32" s="16">
        <v>-5</v>
      </c>
      <c r="C32" s="16">
        <f>B32</f>
        <v>-5</v>
      </c>
      <c r="D32" s="16">
        <v>0</v>
      </c>
      <c r="E32" s="16">
        <v>0</v>
      </c>
      <c r="F32" s="16">
        <v>0</v>
      </c>
    </row>
    <row r="33" spans="1:6">
      <c r="A33" t="s">
        <v>56</v>
      </c>
      <c r="B33" s="16">
        <v>-6</v>
      </c>
      <c r="C33" s="16">
        <v>0</v>
      </c>
      <c r="D33" s="16">
        <f>B33</f>
        <v>-6</v>
      </c>
      <c r="E33" s="16">
        <v>0</v>
      </c>
      <c r="F33" s="16">
        <v>0</v>
      </c>
    </row>
    <row r="34" spans="1:6">
      <c r="A34" t="s">
        <v>63</v>
      </c>
      <c r="B34" s="16">
        <v>-23</v>
      </c>
      <c r="C34" s="16">
        <v>0</v>
      </c>
      <c r="D34" s="16">
        <v>0</v>
      </c>
      <c r="E34" s="16">
        <f>2*B34</f>
        <v>-46</v>
      </c>
      <c r="F34" s="16">
        <v>0</v>
      </c>
    </row>
    <row r="35" spans="1:6">
      <c r="A35" t="s">
        <v>64</v>
      </c>
      <c r="B35" s="16">
        <v>-21</v>
      </c>
      <c r="C35" s="16">
        <v>0</v>
      </c>
      <c r="D35" s="16">
        <v>0</v>
      </c>
      <c r="E35" s="16">
        <v>0</v>
      </c>
      <c r="F35" s="16">
        <f>2*B35</f>
        <v>-42</v>
      </c>
    </row>
    <row r="36" spans="1:6" ht="18.75">
      <c r="A36" t="s">
        <v>49</v>
      </c>
      <c r="B36" s="16">
        <v>1</v>
      </c>
      <c r="C36" s="16">
        <f>5*B36</f>
        <v>5</v>
      </c>
      <c r="D36" s="16">
        <f>6*B36</f>
        <v>6</v>
      </c>
      <c r="E36" s="16">
        <f>B36*(24+2+20)</f>
        <v>46</v>
      </c>
      <c r="F36" s="16">
        <f>B36*(2+40)</f>
        <v>42</v>
      </c>
    </row>
    <row r="37" spans="1:6">
      <c r="B37" s="16"/>
      <c r="C37" s="16">
        <f>SUM(C32:C36)</f>
        <v>0</v>
      </c>
      <c r="D37" s="16">
        <f>SUM(D32:D36)</f>
        <v>0</v>
      </c>
      <c r="E37" s="16">
        <f>SUM(E32:E36)</f>
        <v>0</v>
      </c>
      <c r="F37" s="16">
        <f>SUM(F32:F36)</f>
        <v>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03D18-948E-42E5-A725-EC1A583ABFD9}">
  <dimension ref="A1:E5"/>
  <sheetViews>
    <sheetView workbookViewId="0">
      <selection activeCell="B5" sqref="B5"/>
    </sheetView>
  </sheetViews>
  <sheetFormatPr defaultRowHeight="14.25"/>
  <cols>
    <col min="1" max="1" width="44.625" customWidth="1"/>
  </cols>
  <sheetData>
    <row r="1" spans="1:5">
      <c r="B1" s="16"/>
      <c r="C1" s="16"/>
      <c r="D1" s="16" t="s">
        <v>32</v>
      </c>
      <c r="E1" s="16"/>
    </row>
    <row r="2" spans="1:5">
      <c r="A2" t="s">
        <v>33</v>
      </c>
      <c r="B2" s="16">
        <v>-46.622247084897701</v>
      </c>
      <c r="C2" s="16">
        <v>0.12722240761553402</v>
      </c>
      <c r="D2" s="16">
        <v>2</v>
      </c>
      <c r="E2" s="16">
        <v>1</v>
      </c>
    </row>
    <row r="3" spans="1:5">
      <c r="A3" t="s">
        <v>34</v>
      </c>
      <c r="B3" s="34">
        <f>cycle!B7</f>
        <v>1.4126400000000003</v>
      </c>
      <c r="C3" s="16"/>
      <c r="D3" s="16" t="s">
        <v>35</v>
      </c>
      <c r="E3" s="16">
        <v>-1</v>
      </c>
    </row>
    <row r="4" spans="1:5">
      <c r="A4" t="s">
        <v>36</v>
      </c>
      <c r="B4" s="16">
        <v>-0.54</v>
      </c>
      <c r="C4" s="16"/>
      <c r="D4" s="16">
        <v>5</v>
      </c>
      <c r="E4" s="16">
        <v>-0.16200000000000001</v>
      </c>
    </row>
    <row r="5" spans="1:5">
      <c r="A5" t="s">
        <v>37</v>
      </c>
      <c r="B5">
        <f>(B2*E2)+(B3*E3)+(B4*E4)</f>
        <v>-47.947407084897705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A1CA4-85D1-444F-80D7-D69F948B8A2F}">
  <dimension ref="A1:O20"/>
  <sheetViews>
    <sheetView zoomScale="160" zoomScaleNormal="160" workbookViewId="0"/>
  </sheetViews>
  <sheetFormatPr defaultRowHeight="14.25"/>
  <sheetData>
    <row r="1" spans="1:1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16.5">
      <c r="A2" s="24"/>
      <c r="B2" s="17" t="s">
        <v>62</v>
      </c>
      <c r="K2" t="s">
        <v>67</v>
      </c>
      <c r="O2" s="24"/>
    </row>
    <row r="3" spans="1:15">
      <c r="A3" s="24"/>
      <c r="B3" s="25"/>
      <c r="C3" s="26"/>
      <c r="D3" s="25"/>
      <c r="E3" s="26"/>
      <c r="F3" s="25"/>
      <c r="G3" s="26"/>
      <c r="H3" s="25"/>
      <c r="I3" s="26"/>
      <c r="K3" s="27" t="s">
        <v>55</v>
      </c>
      <c r="L3">
        <v>32.67</v>
      </c>
      <c r="M3">
        <v>0.1</v>
      </c>
      <c r="N3" t="s">
        <v>68</v>
      </c>
      <c r="O3" s="24"/>
    </row>
    <row r="4" spans="1:15">
      <c r="A4" s="24"/>
      <c r="G4" t="s">
        <v>89</v>
      </c>
      <c r="K4" s="27" t="s">
        <v>69</v>
      </c>
      <c r="L4">
        <v>28.3</v>
      </c>
      <c r="M4">
        <v>0.08</v>
      </c>
      <c r="N4" t="s">
        <v>68</v>
      </c>
      <c r="O4" s="24"/>
    </row>
    <row r="5" spans="1:15">
      <c r="A5" s="24"/>
      <c r="B5" t="s">
        <v>70</v>
      </c>
      <c r="E5">
        <f>cycle!H15</f>
        <v>-11827.15415697225</v>
      </c>
      <c r="F5">
        <f>cycle!I15</f>
        <v>9.5690759940286778</v>
      </c>
      <c r="G5">
        <v>-11807</v>
      </c>
      <c r="H5" s="33" t="s">
        <v>90</v>
      </c>
      <c r="I5">
        <f>G5-E5</f>
        <v>20.154156972250348</v>
      </c>
      <c r="K5" s="27" t="s">
        <v>54</v>
      </c>
      <c r="L5">
        <v>27.09</v>
      </c>
      <c r="M5">
        <v>0.13</v>
      </c>
      <c r="N5" t="s">
        <v>68</v>
      </c>
      <c r="O5" s="24"/>
    </row>
    <row r="6" spans="1:15">
      <c r="A6" s="24"/>
      <c r="B6" t="s">
        <v>71</v>
      </c>
      <c r="E6" s="35">
        <v>1491</v>
      </c>
      <c r="F6">
        <v>25</v>
      </c>
      <c r="K6" t="s">
        <v>56</v>
      </c>
      <c r="L6">
        <v>32.049999999999997</v>
      </c>
      <c r="M6">
        <v>0.05</v>
      </c>
      <c r="N6" t="s">
        <v>68</v>
      </c>
      <c r="O6" s="24"/>
    </row>
    <row r="7" spans="1:15" ht="18.75">
      <c r="A7" s="24"/>
      <c r="B7" t="s">
        <v>72</v>
      </c>
      <c r="E7">
        <f>E6-(5*L5)-(6*L6)-(23*L7)-(21*L8)</f>
        <v>-6299.48</v>
      </c>
      <c r="F7">
        <f>SQRT(F6^2+(5*M5)^2+(6*M6)^2+(23*M7)^2+(21*M8)^2)</f>
        <v>25.018003517467175</v>
      </c>
      <c r="K7" t="s">
        <v>73</v>
      </c>
      <c r="L7">
        <v>205.15</v>
      </c>
      <c r="M7">
        <v>0.02</v>
      </c>
      <c r="N7" t="s">
        <v>68</v>
      </c>
      <c r="O7" s="24"/>
    </row>
    <row r="8" spans="1:15" ht="18.75">
      <c r="A8" s="24"/>
      <c r="B8" t="s">
        <v>74</v>
      </c>
      <c r="E8">
        <f>E5-(298.15*E7/1000)</f>
        <v>-9948.96419497225</v>
      </c>
      <c r="F8">
        <f>SQRT(F5^2+(298.15*F7/1000)^2)</f>
        <v>12.132833674330048</v>
      </c>
      <c r="K8" t="s">
        <v>75</v>
      </c>
      <c r="L8">
        <v>130.68</v>
      </c>
      <c r="M8">
        <v>0.02</v>
      </c>
      <c r="N8" t="s">
        <v>68</v>
      </c>
      <c r="O8" s="24"/>
    </row>
    <row r="9" spans="1:15">
      <c r="A9" s="24"/>
      <c r="O9" s="24"/>
    </row>
    <row r="10" spans="1:1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</row>
    <row r="12" spans="1:15" ht="15">
      <c r="A12" s="28"/>
      <c r="B12" s="17" t="s">
        <v>88</v>
      </c>
      <c r="O12" s="28"/>
    </row>
    <row r="13" spans="1:15" ht="18.75">
      <c r="A13" s="28"/>
      <c r="I13" s="29" t="s">
        <v>76</v>
      </c>
      <c r="K13" s="29" t="s">
        <v>77</v>
      </c>
      <c r="O13" s="28"/>
    </row>
    <row r="14" spans="1:15" ht="18.75">
      <c r="A14" s="28"/>
      <c r="B14" s="29" t="s">
        <v>78</v>
      </c>
      <c r="C14">
        <f>I15+(4*I14)+(6*I16)+(22*I17)-E8</f>
        <v>112.23719497225102</v>
      </c>
      <c r="D14">
        <f>SQRT(J15^2+(4*J14)^2+(6*J16)^2+(22*J17)^2+F8^2)</f>
        <v>12.707486060151991</v>
      </c>
      <c r="H14" t="s">
        <v>79</v>
      </c>
      <c r="I14">
        <v>-16.225999999999999</v>
      </c>
      <c r="J14">
        <v>0.65</v>
      </c>
      <c r="K14">
        <v>-50.055999999999997</v>
      </c>
      <c r="L14">
        <v>0.97299999999999998</v>
      </c>
      <c r="M14" t="s">
        <v>65</v>
      </c>
      <c r="O14" s="28"/>
    </row>
    <row r="15" spans="1:15" ht="16.5">
      <c r="A15" s="28"/>
      <c r="B15" t="s">
        <v>80</v>
      </c>
      <c r="C15">
        <f>(-C14*1000)/(8.314*298.15)</f>
        <v>-45.278493687680168</v>
      </c>
      <c r="D15">
        <f>(D14*1000)/(8.314*298.15)</f>
        <v>5.1264273621870959</v>
      </c>
      <c r="H15" t="s">
        <v>81</v>
      </c>
      <c r="I15">
        <v>-90.718999999999994</v>
      </c>
      <c r="J15">
        <v>0.64100000000000001</v>
      </c>
      <c r="K15">
        <v>-90.295000000000002</v>
      </c>
      <c r="L15">
        <v>0.52200000000000002</v>
      </c>
      <c r="M15" t="s">
        <v>65</v>
      </c>
      <c r="O15" s="28"/>
    </row>
    <row r="16" spans="1:15" ht="18.75">
      <c r="A16" s="28"/>
      <c r="B16" t="s">
        <v>82</v>
      </c>
      <c r="C16">
        <f>C15/LN(10)</f>
        <v>-19.664199957450716</v>
      </c>
      <c r="D16">
        <f>D15/LN(10)</f>
        <v>2.2263791152756984</v>
      </c>
      <c r="H16" t="s">
        <v>83</v>
      </c>
      <c r="I16">
        <v>-744.00400000000002</v>
      </c>
      <c r="J16" s="30">
        <v>0.41799999999999998</v>
      </c>
      <c r="K16">
        <v>-909.34</v>
      </c>
      <c r="L16">
        <v>0.4</v>
      </c>
      <c r="M16" t="s">
        <v>65</v>
      </c>
      <c r="O16" s="28"/>
    </row>
    <row r="17" spans="1:15" ht="18.75">
      <c r="A17" s="28"/>
      <c r="B17" s="29" t="s">
        <v>84</v>
      </c>
      <c r="C17">
        <f>K15+(4*K14)+(6*K16)+(22*K17)-E5</f>
        <v>-207.66484302774916</v>
      </c>
      <c r="D17">
        <f>SQRT(L15^2+(4*L14)^2+(6*L16)^2+(22*L17)^2+F5^2)</f>
        <v>10.654659233382171</v>
      </c>
      <c r="H17" t="s">
        <v>85</v>
      </c>
      <c r="I17">
        <v>-237.14</v>
      </c>
      <c r="J17" s="31">
        <v>4.1000000000000002E-2</v>
      </c>
      <c r="K17" s="32">
        <v>-285.83</v>
      </c>
      <c r="L17" s="32">
        <v>0.04</v>
      </c>
      <c r="M17" t="s">
        <v>65</v>
      </c>
      <c r="O17" s="28"/>
    </row>
    <row r="18" spans="1:15" ht="16.5">
      <c r="A18" s="28"/>
      <c r="H18" t="s">
        <v>86</v>
      </c>
      <c r="I18">
        <v>-455.375</v>
      </c>
      <c r="J18">
        <v>1.335</v>
      </c>
      <c r="K18">
        <v>-467</v>
      </c>
      <c r="L18">
        <v>0.6</v>
      </c>
      <c r="M18" t="s">
        <v>65</v>
      </c>
      <c r="O18" s="28"/>
    </row>
    <row r="19" spans="1:15" ht="16.5">
      <c r="A19" s="28"/>
      <c r="H19" t="s">
        <v>87</v>
      </c>
      <c r="I19">
        <v>-491.50700000000001</v>
      </c>
      <c r="J19">
        <v>3.3380000000000001</v>
      </c>
      <c r="K19">
        <v>-538.4</v>
      </c>
      <c r="L19">
        <v>1.5</v>
      </c>
      <c r="M19" t="s">
        <v>65</v>
      </c>
      <c r="O19" s="28"/>
    </row>
    <row r="20" spans="1:1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</vt:lpstr>
      <vt:lpstr>melanterite</vt:lpstr>
      <vt:lpstr>cycle</vt:lpstr>
      <vt:lpstr>lepido</vt:lpstr>
      <vt:lpstr>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 Majzlan</dc:creator>
  <cp:lastModifiedBy>Juraj Majzlan</cp:lastModifiedBy>
  <dcterms:created xsi:type="dcterms:W3CDTF">2024-05-13T20:40:09Z</dcterms:created>
  <dcterms:modified xsi:type="dcterms:W3CDTF">2024-05-27T10:56:51Z</dcterms:modified>
</cp:coreProperties>
</file>